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tables/table1.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drawings/drawing18.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19.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codeName="ThisWorkbook" autoCompressPictures="0"/>
  <mc:AlternateContent xmlns:mc="http://schemas.openxmlformats.org/markup-compatibility/2006">
    <mc:Choice Requires="x15">
      <x15ac:absPath xmlns:x15ac="http://schemas.microsoft.com/office/spreadsheetml/2010/11/ac" url="\\192.168.1.24\RMVArchivio\WINWORD\JOURNALS\SSRN\Prepare Business Plan\"/>
    </mc:Choice>
  </mc:AlternateContent>
  <xr:revisionPtr revIDLastSave="0" documentId="8_{EDC3E192-79F8-4A4E-9555-05A0BB9E7CE8}" xr6:coauthVersionLast="38" xr6:coauthVersionMax="38" xr10:uidLastSave="{00000000-0000-0000-0000-000000000000}"/>
  <bookViews>
    <workbookView xWindow="0" yWindow="0" windowWidth="28800" windowHeight="11565" tabRatio="990" firstSheet="15" activeTab="24" xr2:uid="{00000000-000D-0000-FFFF-FFFF00000000}"/>
  </bookViews>
  <sheets>
    <sheet name="Contents" sheetId="24" r:id="rId1"/>
    <sheet name="Business Plan checklist" sheetId="30" r:id="rId2"/>
    <sheet name="Income Statement" sheetId="20" r:id="rId3"/>
    <sheet name="Balance Sheet" sheetId="15" r:id="rId4"/>
    <sheet name="Loan repayment schedule" sheetId="33" r:id="rId5"/>
    <sheet name="Balance Sheet Variation" sheetId="21" r:id="rId6"/>
    <sheet name="Cash Flow Statement" sheetId="22" r:id="rId7"/>
    <sheet name="Ratio Analysis" sheetId="26" state="hidden" r:id="rId8"/>
    <sheet name="Operating leverage&amp;Cash Flow" sheetId="32" state="hidden" r:id="rId9"/>
    <sheet name="Sales - Sensitivity Analysis" sheetId="29" state="hidden" r:id="rId10"/>
    <sheet name="Ratios " sheetId="27" r:id="rId11"/>
    <sheet name="RATIO TREE" sheetId="80" r:id="rId12"/>
    <sheet name="Debt Covenants " sheetId="75" r:id="rId13"/>
    <sheet name="Value Added Analysis" sheetId="67" r:id="rId14"/>
    <sheet name="Breakeven point" sheetId="34" r:id="rId15"/>
    <sheet name="Operating leverage" sheetId="69" r:id="rId16"/>
    <sheet name="Cash Flows &amp; Operating Leverage" sheetId="70" r:id="rId17"/>
    <sheet name="Country Risk" sheetId="28" r:id="rId18"/>
    <sheet name="Beta " sheetId="66" r:id="rId19"/>
    <sheet name="Inflation OECD Historical trend" sheetId="62" r:id="rId20"/>
    <sheet name="Inflation update November 2015" sheetId="89" r:id="rId21"/>
    <sheet name="Equity risk premium" sheetId="63" r:id="rId22"/>
    <sheet name="Interest Rates" sheetId="90" r:id="rId23"/>
    <sheet name="Currency Rates" sheetId="91" r:id="rId24"/>
    <sheet name="Commodities" sheetId="88" r:id="rId25"/>
    <sheet name="Other input data" sheetId="61" r:id="rId26"/>
    <sheet name=" Exhibit " sheetId="43" r:id="rId27"/>
    <sheet name="NPV, IRR, payback" sheetId="31" r:id="rId28"/>
    <sheet name="Evaluation Model" sheetId="35" r:id="rId29"/>
    <sheet name="Dividend growth" sheetId="36" state="hidden" r:id="rId30"/>
    <sheet name="Rating " sheetId="37" r:id="rId31"/>
    <sheet name="Price-BV" sheetId="38" r:id="rId32"/>
    <sheet name="Cash flow eval methods descript" sheetId="78" r:id="rId33"/>
    <sheet name=" Cash Flow Valuation Model" sheetId="46" r:id="rId34"/>
    <sheet name="NewFCFEStableGrowth" sheetId="40" r:id="rId35"/>
    <sheet name=" NewFCFFStableGrowth" sheetId="42" r:id="rId36"/>
    <sheet name="WACC" sheetId="44" r:id="rId37"/>
    <sheet name="drop down menu" sheetId="60" state="hidden" r:id="rId38"/>
    <sheet name="R&amp;D Capitalizer" sheetId="84" r:id="rId39"/>
    <sheet name="Residual Life Assets" sheetId="85" r:id="rId40"/>
    <sheet name="Intangible eval methods descrip" sheetId="87" r:id="rId41"/>
    <sheet name="Income approach" sheetId="86"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s>
  <definedNames>
    <definedName name="__Act2">'[1]IN Act'!$C$4:$C$164</definedName>
    <definedName name="__Act3">'[1]IN Act'!$B$4:$B$164</definedName>
    <definedName name="__Bdg2">'[1]IN Bdg'!$C$4:$C$164</definedName>
    <definedName name="__Bdg3">'[1]IN Bdg'!$B$4:$B$164</definedName>
    <definedName name="__Py2">'[1]IN Py'!$C$4:$C$164</definedName>
    <definedName name="__Py3">'[1]IN Py'!$B$4:$B$164</definedName>
    <definedName name="_1_0BL">[2]Sheet1!#REF!</definedName>
    <definedName name="_1986" localSheetId="12">'[3]Base Case'!#REF!</definedName>
    <definedName name="_1986">'[4]Base Case'!#REF!</definedName>
    <definedName name="_2BL">[2]Sheet1!#REF!</definedName>
    <definedName name="_Act2">'[1]IN Act'!$C$4:$C$164</definedName>
    <definedName name="_Act3">'[1]IN Act'!$B$4:$B$164</definedName>
    <definedName name="_Bdg2">'[1]IN Bdg'!$C$4:$C$164</definedName>
    <definedName name="_Bdg3">'[1]IN Bdg'!$B$4:$B$164</definedName>
    <definedName name="_bdm.0F3E37A8722D4AB39206B0ABE7C5F669.edm" hidden="1">'Income Statement'!$1:$1048576</definedName>
    <definedName name="_bdm.4A2931ABE76644EE8F9C7B7E83AFB295.edm" localSheetId="2" hidden="1">'Income Statement'!$C$13</definedName>
    <definedName name="_bdm.75E162CC03E443E28E394BE57FDA18BD.edm" localSheetId="2" hidden="1">'Income Statement'!$C$5</definedName>
    <definedName name="_xlnm._FilterDatabase" localSheetId="3" hidden="1">'Balance Sheet'!$A$3</definedName>
    <definedName name="_INC1" localSheetId="12">#REF!</definedName>
    <definedName name="_INC1">#REF!</definedName>
    <definedName name="_INC2" localSheetId="12">#REF!</definedName>
    <definedName name="_INC2">#REF!</definedName>
    <definedName name="_INC3" localSheetId="12">#REF!</definedName>
    <definedName name="_INC3">#REF!</definedName>
    <definedName name="_PL88" localSheetId="12">'[3]Base Case'!#REF!</definedName>
    <definedName name="_PL88">'[4]Base Case'!#REF!</definedName>
    <definedName name="_Py2">'[1]IN Py'!$C$4:$C$164</definedName>
    <definedName name="_Py3">'[1]IN Py'!$B$4:$B$164</definedName>
    <definedName name="_TPG1999" localSheetId="12">#REF!</definedName>
    <definedName name="_TPG1999">#REF!</definedName>
    <definedName name="_VNU1" localSheetId="12">#REF!</definedName>
    <definedName name="_VNU1">#REF!</definedName>
    <definedName name="_VNU2" localSheetId="12">#REF!</definedName>
    <definedName name="_VNU2">#REF!</definedName>
    <definedName name="_VNU3" localSheetId="12">#REF!</definedName>
    <definedName name="_VNU3">#REF!</definedName>
    <definedName name="_VNU4" localSheetId="12">#REF!</definedName>
    <definedName name="_VNU4">#REF!</definedName>
    <definedName name="A" localSheetId="12">#REF!</definedName>
    <definedName name="A">#REF!</definedName>
    <definedName name="aa" localSheetId="12">{"Client Name or Project Name"}</definedName>
    <definedName name="aa">{"Client Name or Project Name"}</definedName>
    <definedName name="AAA_DOCTOPS">"AAA_SET"</definedName>
    <definedName name="AAA_duser">"OFF"</definedName>
    <definedName name="AAB_Addin5">"AAB_Description for addin 5,Description for addin 5,Description for addin 5,Description for addin 5,Description for addin 5,Description for addin 5"</definedName>
    <definedName name="abc" localSheetId="12" hidden="1">{#N/A,#N/A,TRUE,"Cover sheet";#N/A,#N/A,TRUE,"Summary";#N/A,#N/A,TRUE,"Key Assumptions";#N/A,#N/A,TRUE,"Profit &amp; Loss";#N/A,#N/A,TRUE,"Balance Sheet";#N/A,#N/A,TRUE,"Cashflow";#N/A,#N/A,TRUE,"IRR";#N/A,#N/A,TRUE,"Ratios";#N/A,#N/A,TRUE,"Debt analysis"}</definedName>
    <definedName name="abc">{#N/A,#N/A,TRUE,"Cover sheet";#N/A,#N/A,TRUE,"Summary";#N/A,#N/A,TRUE,"Key Assumptions";#N/A,#N/A,TRUE,"Profit &amp; Loss";#N/A,#N/A,TRUE,"Balance Sheet";#N/A,#N/A,TRUE,"Cashflow";#N/A,#N/A,TRUE,"IRR";#N/A,#N/A,TRUE,"Ratios";#N/A,#N/A,TRUE,"Debt analysis"}</definedName>
    <definedName name="Acquiror" localSheetId="12">#REF!</definedName>
    <definedName name="Acquiror">#REF!</definedName>
    <definedName name="Act">'[1]IN Act'!$A$4:$A$164</definedName>
    <definedName name="act_mon">'[1]IN Act'!$Q$4:$Q$164</definedName>
    <definedName name="act_ytd">'[1]IN Act'!$R$4:$R$164</definedName>
    <definedName name="ACwvu.ce_storici." hidden="1">#REF!</definedName>
    <definedName name="ACwvu.dd." hidden="1">#REF!</definedName>
    <definedName name="ACwvu_ce_storici_">#REF!</definedName>
    <definedName name="ACwvu_dd_">#REF!</definedName>
    <definedName name="AEECY" localSheetId="12">#REF!</definedName>
    <definedName name="AEECY">#REF!</definedName>
    <definedName name="AEENY" localSheetId="12">#REF!</definedName>
    <definedName name="AEENY">#REF!</definedName>
    <definedName name="AFACECaps" localSheetId="12">#REF!</definedName>
    <definedName name="AFACECaps">#REF!</definedName>
    <definedName name="AFACECmsa" localSheetId="12">#REF!</definedName>
    <definedName name="AFACECmsa">#REF!</definedName>
    <definedName name="AFACP" localSheetId="12">#REF!</definedName>
    <definedName name="AFACP">#REF!</definedName>
    <definedName name="AFACV" localSheetId="12">#REF!</definedName>
    <definedName name="AFACV">#REF!</definedName>
    <definedName name="AFACVBasa" localSheetId="12">#REF!</definedName>
    <definedName name="AFACVBasa">#REF!</definedName>
    <definedName name="AFACVTorre" localSheetId="12">#REF!</definedName>
    <definedName name="AFACVTorre">#REF!</definedName>
    <definedName name="AInterestRate" localSheetId="12">#REF!</definedName>
    <definedName name="AInterestRate">#REF!</definedName>
    <definedName name="AMC" localSheetId="12">#REF!</definedName>
    <definedName name="AMC">#REF!</definedName>
    <definedName name="AmortPeriod" localSheetId="12">[5]Acquiror!$C$9</definedName>
    <definedName name="AmortPeriod">[6]Acquiror!$C$9</definedName>
    <definedName name="AMVE" localSheetId="12">#REF!</definedName>
    <definedName name="AMVE">#REF!</definedName>
    <definedName name="ANetDebt" localSheetId="12">#REF!</definedName>
    <definedName name="ANetDebt">#REF!</definedName>
    <definedName name="ANICY" localSheetId="12">#REF!</definedName>
    <definedName name="ANICY">#REF!</definedName>
    <definedName name="ANINY" localSheetId="12">#REF!</definedName>
    <definedName name="ANINY">#REF!</definedName>
    <definedName name="Anni_prestito">'[7]Piano ammortamento prestito'!$E$7</definedName>
    <definedName name="appendix4" localSheetId="12" hidden="1">{#N/A,#N/A,TRUE,"Cover sheet";#N/A,#N/A,TRUE,"Summary";#N/A,#N/A,TRUE,"Key Assumptions";#N/A,#N/A,TRUE,"Profit &amp; Loss";#N/A,#N/A,TRUE,"Balance Sheet";#N/A,#N/A,TRUE,"Cashflow";#N/A,#N/A,TRUE,"IRR";#N/A,#N/A,TRUE,"Ratios";#N/A,#N/A,TRUE,"Debt analysis"}</definedName>
    <definedName name="appendix4">{#N/A,#N/A,TRUE,"Cover sheet";#N/A,#N/A,TRUE,"Summary";#N/A,#N/A,TRUE,"Key Assumptions";#N/A,#N/A,TRUE,"Profit &amp; Loss";#N/A,#N/A,TRUE,"Balance Sheet";#N/A,#N/A,TRUE,"Cashflow";#N/A,#N/A,TRUE,"IRR";#N/A,#N/A,TRUE,"Ratios";#N/A,#N/A,TRUE,"Debt analysis"}</definedName>
    <definedName name="APrice" localSheetId="12">#REF!</definedName>
    <definedName name="APrice">#REF!</definedName>
    <definedName name="_xlnm.Print_Area" localSheetId="14">'Breakeven point'!$A$1:$H$35</definedName>
    <definedName name="_xlnm.Print_Area" localSheetId="1">'Business Plan checklist'!$A$1:$R$273</definedName>
    <definedName name="_xlnm.Print_Area" localSheetId="16">'Cash Flows &amp; Operating Leverage'!$A$1:$H$42</definedName>
    <definedName name="_xlnm.Print_Area" localSheetId="0">Contents!$A$1:$H$73</definedName>
    <definedName name="_xlnm.Print_Area" localSheetId="2">'Income Statement'!$A$1:$P$74</definedName>
    <definedName name="_xlnm.Print_Area" localSheetId="27">'NPV, IRR, payback'!$A$1:$Q$123</definedName>
    <definedName name="_xlnm.Print_Area" localSheetId="15">'Operating leverage'!$A$1:$G$60</definedName>
    <definedName name="_xlnm.Print_Area" localSheetId="10">'Ratios '!$A$1:$I$63</definedName>
    <definedName name="_xlnm.Print_Area" localSheetId="13">'Value Added Analysis'!$A$1:$F$79</definedName>
    <definedName name="_xlnm.Print_Area" localSheetId="36">WACC!$A$1:$G$36</definedName>
    <definedName name="AShares" localSheetId="12">#REF!</definedName>
    <definedName name="AShares">#REF!</definedName>
    <definedName name="ASHE" localSheetId="12">#REF!</definedName>
    <definedName name="ASHE">#REF!</definedName>
    <definedName name="ATaxRate" localSheetId="12">#REF!</definedName>
    <definedName name="ATaxRate">#REF!</definedName>
    <definedName name="b" localSheetId="12">#REF!</definedName>
    <definedName name="B">#REF!</definedName>
    <definedName name="BDG" localSheetId="12">#REF!</definedName>
    <definedName name="BDG">#REF!</definedName>
    <definedName name="bdg_mon">'[1]IN Bdg'!$Q$4:$Q$164</definedName>
    <definedName name="bdg_ytd">'[1]IN Bdg'!$R$4:$R$164</definedName>
    <definedName name="Before_Tax_Cost_of_Debt" localSheetId="18">'[8]Other Input Data'!$B$5</definedName>
    <definedName name="Before_Tax_Cost_of_Debt">'[9]Other Input Data'!$B$5</definedName>
    <definedName name="Bid_Price" localSheetId="12">#REF!</definedName>
    <definedName name="Bid_Price">#REF!</definedName>
    <definedName name="Billing" localSheetId="12">#REF!</definedName>
    <definedName name="Billing">#REF!</definedName>
    <definedName name="BLPH1" localSheetId="12" hidden="1">#REF!</definedName>
    <definedName name="BLPH1">#REF!</definedName>
    <definedName name="BLPH10" localSheetId="12" hidden="1">'[10]Bloom Links'!#REF!</definedName>
    <definedName name="BLPH10">'[11]Bloom Links'!#REF!</definedName>
    <definedName name="BLPH100" localSheetId="12" hidden="1">#REF!</definedName>
    <definedName name="BLPH100">#REF!</definedName>
    <definedName name="BLPH101" localSheetId="12" hidden="1">#REF!</definedName>
    <definedName name="BLPH101">#REF!</definedName>
    <definedName name="BLPH102" localSheetId="12" hidden="1">#REF!</definedName>
    <definedName name="BLPH102">#REF!</definedName>
    <definedName name="BLPH103" localSheetId="12" hidden="1">#REF!</definedName>
    <definedName name="BLPH103">#REF!</definedName>
    <definedName name="BLPH104" localSheetId="12" hidden="1">#REF!</definedName>
    <definedName name="BLPH104">#REF!</definedName>
    <definedName name="BLPH105" localSheetId="12" hidden="1">#REF!</definedName>
    <definedName name="BLPH105">#REF!</definedName>
    <definedName name="BLPH106" localSheetId="12" hidden="1">#REF!</definedName>
    <definedName name="BLPH106">#REF!</definedName>
    <definedName name="BLPH107" localSheetId="12" hidden="1">#REF!</definedName>
    <definedName name="BLPH107">#REF!</definedName>
    <definedName name="BLPH108" localSheetId="12" hidden="1">#REF!</definedName>
    <definedName name="BLPH108">#REF!</definedName>
    <definedName name="BLPH109" localSheetId="12" hidden="1">#REF!</definedName>
    <definedName name="BLPH109">#REF!</definedName>
    <definedName name="BLPH11" localSheetId="12" hidden="1">'[10]Bloom Links'!#REF!</definedName>
    <definedName name="BLPH11">'[11]Bloom Links'!#REF!</definedName>
    <definedName name="BLPH110" localSheetId="12" hidden="1">#REF!</definedName>
    <definedName name="BLPH110">#REF!</definedName>
    <definedName name="BLPH111" localSheetId="12" hidden="1">#REF!</definedName>
    <definedName name="BLPH111">#REF!</definedName>
    <definedName name="BLPH112" localSheetId="12" hidden="1">#REF!</definedName>
    <definedName name="BLPH112">#REF!</definedName>
    <definedName name="BLPH113" localSheetId="12" hidden="1">#REF!</definedName>
    <definedName name="BLPH113">#REF!</definedName>
    <definedName name="BLPH114" localSheetId="12" hidden="1">#REF!</definedName>
    <definedName name="BLPH114">#REF!</definedName>
    <definedName name="BLPH12" localSheetId="12" hidden="1">'[10]Bloom Links'!#REF!</definedName>
    <definedName name="BLPH12">'[11]Bloom Links'!#REF!</definedName>
    <definedName name="BLPH13" localSheetId="12" hidden="1">'[10]Bloom Links'!#REF!</definedName>
    <definedName name="BLPH13">'[11]Bloom Links'!#REF!</definedName>
    <definedName name="BLPH14" localSheetId="12" hidden="1">'[10]Bloom Links'!#REF!</definedName>
    <definedName name="BLPH14">'[11]Bloom Links'!#REF!</definedName>
    <definedName name="BLPH15" localSheetId="12" hidden="1">'[10]Bloom Links'!#REF!</definedName>
    <definedName name="BLPH15">'[11]Bloom Links'!#REF!</definedName>
    <definedName name="BLPH16" localSheetId="12" hidden="1">'[10]Bloom Links'!#REF!</definedName>
    <definedName name="BLPH16">'[11]Bloom Links'!#REF!</definedName>
    <definedName name="BLPH17" localSheetId="12" hidden="1">'[10]Bloom Links'!#REF!</definedName>
    <definedName name="BLPH17">'[11]Bloom Links'!#REF!</definedName>
    <definedName name="BLPH18" localSheetId="12" hidden="1">'[10]Bloom Links'!#REF!</definedName>
    <definedName name="BLPH18">'[11]Bloom Links'!#REF!</definedName>
    <definedName name="BLPH19" localSheetId="12" hidden="1">'[10]Bloom Links'!#REF!</definedName>
    <definedName name="BLPH19">'[11]Bloom Links'!#REF!</definedName>
    <definedName name="BLPH2" localSheetId="12" hidden="1">'[10]Bloom Links'!#REF!</definedName>
    <definedName name="BLPH2">'[11]Bloom Links'!#REF!</definedName>
    <definedName name="BLPH20" localSheetId="12" hidden="1">'[10]Bloom Links'!#REF!</definedName>
    <definedName name="BLPH20">'[11]Bloom Links'!#REF!</definedName>
    <definedName name="BLPH21" localSheetId="12" hidden="1">'[10]Bloom Links'!#REF!</definedName>
    <definedName name="BLPH21">'[11]Bloom Links'!#REF!</definedName>
    <definedName name="BLPH22" localSheetId="12" hidden="1">'[10]Bloom Links'!#REF!</definedName>
    <definedName name="BLPH22">'[11]Bloom Links'!#REF!</definedName>
    <definedName name="BLPH23" localSheetId="12" hidden="1">'[10]Bloom Links'!#REF!</definedName>
    <definedName name="BLPH23">'[11]Bloom Links'!#REF!</definedName>
    <definedName name="BLPH24" localSheetId="12" hidden="1">'[10]Bloom Links'!#REF!</definedName>
    <definedName name="BLPH24">'[11]Bloom Links'!#REF!</definedName>
    <definedName name="BLPH25" localSheetId="12" hidden="1">'[10]Bloom Links'!#REF!</definedName>
    <definedName name="BLPH25">'[11]Bloom Links'!#REF!</definedName>
    <definedName name="BLPH26" localSheetId="12" hidden="1">'[10]Bloom Links'!#REF!</definedName>
    <definedName name="BLPH26">'[11]Bloom Links'!#REF!</definedName>
    <definedName name="BLPH27" localSheetId="12" hidden="1">'[10]Bloom Links'!#REF!</definedName>
    <definedName name="BLPH27">'[11]Bloom Links'!#REF!</definedName>
    <definedName name="BLPH28" localSheetId="12" hidden="1">'[10]Bloom Links'!#REF!</definedName>
    <definedName name="BLPH28">'[11]Bloom Links'!#REF!</definedName>
    <definedName name="BLPH29" localSheetId="12" hidden="1">'[10]Bloom Links'!#REF!</definedName>
    <definedName name="BLPH29">'[11]Bloom Links'!#REF!</definedName>
    <definedName name="BLPH3" localSheetId="12" hidden="1">'[10]Bloom Links'!#REF!</definedName>
    <definedName name="BLPH3">'[11]Bloom Links'!#REF!</definedName>
    <definedName name="BLPH30" localSheetId="12" hidden="1">'[10]Bloom Links'!#REF!</definedName>
    <definedName name="BLPH30">'[11]Bloom Links'!#REF!</definedName>
    <definedName name="BLPH31" localSheetId="12" hidden="1">#REF!</definedName>
    <definedName name="BLPH31">#REF!</definedName>
    <definedName name="BLPH32" localSheetId="12" hidden="1">#REF!</definedName>
    <definedName name="BLPH32">#REF!</definedName>
    <definedName name="BLPH33" localSheetId="12" hidden="1">#REF!</definedName>
    <definedName name="BLPH33">#REF!</definedName>
    <definedName name="BLPH34" localSheetId="12" hidden="1">#REF!</definedName>
    <definedName name="BLPH34">#REF!</definedName>
    <definedName name="BLPH35" localSheetId="12" hidden="1">#REF!</definedName>
    <definedName name="BLPH35">#REF!</definedName>
    <definedName name="BLPH36" localSheetId="12" hidden="1">#REF!</definedName>
    <definedName name="BLPH36">#REF!</definedName>
    <definedName name="BLPH37" localSheetId="12" hidden="1">#REF!</definedName>
    <definedName name="BLPH37">#REF!</definedName>
    <definedName name="BLPH38" localSheetId="12" hidden="1">#REF!</definedName>
    <definedName name="BLPH38">#REF!</definedName>
    <definedName name="BLPH39" localSheetId="12" hidden="1">#REF!</definedName>
    <definedName name="BLPH39">#REF!</definedName>
    <definedName name="BLPH4" localSheetId="12" hidden="1">'[10]Bloom Links'!#REF!</definedName>
    <definedName name="BLPH4">'[11]Bloom Links'!#REF!</definedName>
    <definedName name="BLPH40" localSheetId="12" hidden="1">#REF!</definedName>
    <definedName name="BLPH40">#REF!</definedName>
    <definedName name="BLPH41" localSheetId="12" hidden="1">#REF!</definedName>
    <definedName name="BLPH41">#REF!</definedName>
    <definedName name="BLPH42" localSheetId="12" hidden="1">#REF!</definedName>
    <definedName name="BLPH42">#REF!</definedName>
    <definedName name="BLPH43" localSheetId="12" hidden="1">#REF!</definedName>
    <definedName name="BLPH43">#REF!</definedName>
    <definedName name="BLPH44" localSheetId="12" hidden="1">#REF!</definedName>
    <definedName name="BLPH44">#REF!</definedName>
    <definedName name="BLPH45" localSheetId="12" hidden="1">#REF!</definedName>
    <definedName name="BLPH45">#REF!</definedName>
    <definedName name="BLPH46" localSheetId="12" hidden="1">#REF!</definedName>
    <definedName name="BLPH46">#REF!</definedName>
    <definedName name="BLPH47" localSheetId="12" hidden="1">#REF!</definedName>
    <definedName name="BLPH47">#REF!</definedName>
    <definedName name="BLPH48" localSheetId="12" hidden="1">#REF!</definedName>
    <definedName name="BLPH48">#REF!</definedName>
    <definedName name="BLPH49" localSheetId="12" hidden="1">#REF!</definedName>
    <definedName name="BLPH49">#REF!</definedName>
    <definedName name="BLPH5" localSheetId="12" hidden="1">'[10]Bloom Links'!#REF!</definedName>
    <definedName name="BLPH5">'[11]Bloom Links'!#REF!</definedName>
    <definedName name="BLPH50" localSheetId="12" hidden="1">#REF!</definedName>
    <definedName name="BLPH50">#REF!</definedName>
    <definedName name="BLPH51" localSheetId="12" hidden="1">#REF!</definedName>
    <definedName name="BLPH51">#REF!</definedName>
    <definedName name="BLPH52" localSheetId="12" hidden="1">#REF!</definedName>
    <definedName name="BLPH52">#REF!</definedName>
    <definedName name="BLPH53" localSheetId="12" hidden="1">#REF!</definedName>
    <definedName name="BLPH53">#REF!</definedName>
    <definedName name="BLPH54" localSheetId="12" hidden="1">#REF!</definedName>
    <definedName name="BLPH54">#REF!</definedName>
    <definedName name="BLPH55" localSheetId="12" hidden="1">#REF!</definedName>
    <definedName name="BLPH55">#REF!</definedName>
    <definedName name="BLPH56" localSheetId="12" hidden="1">#REF!</definedName>
    <definedName name="BLPH56">#REF!</definedName>
    <definedName name="BLPH57" localSheetId="12" hidden="1">#REF!</definedName>
    <definedName name="BLPH57">#REF!</definedName>
    <definedName name="BLPH58" localSheetId="12" hidden="1">#REF!</definedName>
    <definedName name="BLPH58">#REF!</definedName>
    <definedName name="BLPH59" localSheetId="12" hidden="1">#REF!</definedName>
    <definedName name="BLPH59">#REF!</definedName>
    <definedName name="BLPH6" localSheetId="12" hidden="1">'[10]Bloom Links'!#REF!</definedName>
    <definedName name="BLPH6">'[11]Bloom Links'!#REF!</definedName>
    <definedName name="BLPH60" localSheetId="12" hidden="1">#REF!</definedName>
    <definedName name="BLPH60">#REF!</definedName>
    <definedName name="BLPH61" localSheetId="12" hidden="1">#REF!</definedName>
    <definedName name="BLPH61">#REF!</definedName>
    <definedName name="BLPH62" localSheetId="12" hidden="1">#REF!</definedName>
    <definedName name="BLPH62">#REF!</definedName>
    <definedName name="BLPH63" localSheetId="12" hidden="1">#REF!</definedName>
    <definedName name="BLPH63">#REF!</definedName>
    <definedName name="BLPH64" localSheetId="12" hidden="1">#REF!</definedName>
    <definedName name="BLPH64">#REF!</definedName>
    <definedName name="BLPH65" localSheetId="12" hidden="1">#REF!</definedName>
    <definedName name="BLPH65">#REF!</definedName>
    <definedName name="BLPH66" localSheetId="12" hidden="1">#REF!</definedName>
    <definedName name="BLPH66">#REF!</definedName>
    <definedName name="BLPH67" localSheetId="12" hidden="1">#REF!</definedName>
    <definedName name="BLPH67">#REF!</definedName>
    <definedName name="BLPH68" localSheetId="12" hidden="1">#REF!</definedName>
    <definedName name="BLPH68">#REF!</definedName>
    <definedName name="BLPH69" localSheetId="12" hidden="1">#REF!</definedName>
    <definedName name="BLPH69">#REF!</definedName>
    <definedName name="BLPH7" localSheetId="12" hidden="1">'[10]Bloom Links'!#REF!</definedName>
    <definedName name="BLPH7">'[11]Bloom Links'!#REF!</definedName>
    <definedName name="BLPH70" localSheetId="12" hidden="1">#REF!</definedName>
    <definedName name="BLPH70">#REF!</definedName>
    <definedName name="BLPH71" localSheetId="12" hidden="1">#REF!</definedName>
    <definedName name="BLPH71">#REF!</definedName>
    <definedName name="BLPH72" localSheetId="12" hidden="1">#REF!</definedName>
    <definedName name="BLPH72">#REF!</definedName>
    <definedName name="BLPH73" localSheetId="12" hidden="1">#REF!</definedName>
    <definedName name="BLPH73">#REF!</definedName>
    <definedName name="BLPH74" localSheetId="12" hidden="1">#REF!</definedName>
    <definedName name="BLPH74">#REF!</definedName>
    <definedName name="BLPH75" localSheetId="12" hidden="1">#REF!</definedName>
    <definedName name="BLPH75">#REF!</definedName>
    <definedName name="BLPH76" localSheetId="12" hidden="1">#REF!</definedName>
    <definedName name="BLPH76">#REF!</definedName>
    <definedName name="BLPH77" localSheetId="12" hidden="1">#REF!</definedName>
    <definedName name="BLPH77">#REF!</definedName>
    <definedName name="BLPH78" localSheetId="12" hidden="1">#REF!</definedName>
    <definedName name="BLPH78">#REF!</definedName>
    <definedName name="BLPH79" localSheetId="12" hidden="1">#REF!</definedName>
    <definedName name="BLPH79">#REF!</definedName>
    <definedName name="BLPH8" localSheetId="12" hidden="1">'[10]Bloom Links'!#REF!</definedName>
    <definedName name="BLPH8">'[11]Bloom Links'!#REF!</definedName>
    <definedName name="BLPH80" localSheetId="12" hidden="1">#REF!</definedName>
    <definedName name="BLPH80">#REF!</definedName>
    <definedName name="BLPH81" localSheetId="12" hidden="1">#REF!</definedName>
    <definedName name="BLPH81">#REF!</definedName>
    <definedName name="BLPH82" localSheetId="12" hidden="1">#REF!</definedName>
    <definedName name="BLPH82">#REF!</definedName>
    <definedName name="BLPH83" localSheetId="12" hidden="1">#REF!</definedName>
    <definedName name="BLPH83">#REF!</definedName>
    <definedName name="BLPH84" localSheetId="12" hidden="1">#REF!</definedName>
    <definedName name="BLPH84">#REF!</definedName>
    <definedName name="BLPH85" localSheetId="12" hidden="1">#REF!</definedName>
    <definedName name="BLPH85">#REF!</definedName>
    <definedName name="BLPH86" localSheetId="12" hidden="1">#REF!</definedName>
    <definedName name="BLPH86">#REF!</definedName>
    <definedName name="BLPH87" localSheetId="12" hidden="1">#REF!</definedName>
    <definedName name="BLPH87">#REF!</definedName>
    <definedName name="BLPH88" localSheetId="12" hidden="1">#REF!</definedName>
    <definedName name="BLPH88">#REF!</definedName>
    <definedName name="BLPH89" localSheetId="12" hidden="1">#REF!</definedName>
    <definedName name="BLPH89">#REF!</definedName>
    <definedName name="BLPH9" localSheetId="12" hidden="1">'[10]Bloom Links'!#REF!</definedName>
    <definedName name="BLPH9">'[11]Bloom Links'!#REF!</definedName>
    <definedName name="BLPH90" localSheetId="12" hidden="1">#REF!</definedName>
    <definedName name="BLPH90">#REF!</definedName>
    <definedName name="BLPH91" localSheetId="12" hidden="1">#REF!</definedName>
    <definedName name="BLPH91">#REF!</definedName>
    <definedName name="BLPH92" localSheetId="12" hidden="1">#REF!</definedName>
    <definedName name="BLPH92">#REF!</definedName>
    <definedName name="BLPH93" localSheetId="12" hidden="1">#REF!</definedName>
    <definedName name="BLPH93">#REF!</definedName>
    <definedName name="BLPH94" localSheetId="12" hidden="1">#REF!</definedName>
    <definedName name="BLPH94">#REF!</definedName>
    <definedName name="BLPH95" localSheetId="12" hidden="1">#REF!</definedName>
    <definedName name="BLPH95">#REF!</definedName>
    <definedName name="BLPH96" localSheetId="12" hidden="1">#REF!</definedName>
    <definedName name="BLPH96">#REF!</definedName>
    <definedName name="BLPH97" localSheetId="12" hidden="1">#REF!</definedName>
    <definedName name="BLPH97">#REF!</definedName>
    <definedName name="BLPH98" localSheetId="12" hidden="1">#REF!</definedName>
    <definedName name="BLPH98">#REF!</definedName>
    <definedName name="BLPH99" localSheetId="12" hidden="1">#REF!</definedName>
    <definedName name="BLPH99">#REF!</definedName>
    <definedName name="BUDGET" localSheetId="12">#REF!</definedName>
    <definedName name="BUDGET">#REF!</definedName>
    <definedName name="BUDGET1" localSheetId="12">#REF!</definedName>
    <definedName name="BUDGET1">#REF!</definedName>
    <definedName name="Calendar" localSheetId="12">'[12]Control (In)'!$F$8</definedName>
    <definedName name="Calendar">'[13]Control (In)'!$F$8</definedName>
    <definedName name="Capitale_circolante" localSheetId="12">#REF!</definedName>
    <definedName name="Capitale_circolante">#REF!</definedName>
    <definedName name="CAPONE" localSheetId="12">#REF!</definedName>
    <definedName name="CAPONE">#REF!</definedName>
    <definedName name="CAPTWO" localSheetId="12">#REF!</definedName>
    <definedName name="CAPTWO">#REF!</definedName>
    <definedName name="case" localSheetId="12">[14]Control!$A$4</definedName>
    <definedName name="case">[15]Control!$A$4</definedName>
    <definedName name="CC" localSheetId="12">#REF!</definedName>
    <definedName name="CC">#REF!</definedName>
    <definedName name="CDN" localSheetId="12">#REF!</definedName>
    <definedName name="CDN">#REF!</definedName>
    <definedName name="CE" localSheetId="12">#REF!</definedName>
    <definedName name="CE">#REF!</definedName>
    <definedName name="CECON">#REF!</definedName>
    <definedName name="CFACECaps" localSheetId="12">#REF!</definedName>
    <definedName name="CFACECaps">#REF!</definedName>
    <definedName name="CFACECmsa" localSheetId="12">#REF!</definedName>
    <definedName name="CFACECmsa">#REF!</definedName>
    <definedName name="CFACP" localSheetId="12">#REF!</definedName>
    <definedName name="CFACP">#REF!</definedName>
    <definedName name="CFACV" localSheetId="12">#REF!</definedName>
    <definedName name="CFACV">#REF!</definedName>
    <definedName name="CFACVBasa" localSheetId="12">#REF!</definedName>
    <definedName name="CFACVBasa">#REF!</definedName>
    <definedName name="CFACVTorre" localSheetId="12">#REF!</definedName>
    <definedName name="CFACVTorre">#REF!</definedName>
    <definedName name="CHIVLIT" localSheetId="12">#REF!</definedName>
    <definedName name="CHIVLIT">#REF!</definedName>
    <definedName name="Circular" localSheetId="12">#REF!</definedName>
    <definedName name="Circular">#REF!</definedName>
    <definedName name="Close_date" localSheetId="12">[16]Control!$C$4</definedName>
    <definedName name="Close_date">[17]Control!$C$4</definedName>
    <definedName name="Company" localSheetId="12">'[18]1.P&amp;L'!$B$1</definedName>
    <definedName name="Company">'[19]1.P&amp;L'!$B$1</definedName>
    <definedName name="Company_Name" localSheetId="12">[20]Cover!$C$27</definedName>
    <definedName name="Company_Name">[21]Cover!$C$27</definedName>
    <definedName name="companycurrency" localSheetId="12">'[22]Company data'!$B$7</definedName>
    <definedName name="companycurrency">'[23]Company data'!$B$7</definedName>
    <definedName name="companyname" localSheetId="12">[22]Cover!$D$9</definedName>
    <definedName name="companyname">[23]Cover!$D$9</definedName>
    <definedName name="CONFRONTO" localSheetId="12">#REF!</definedName>
    <definedName name="CONFRONTO">#REF!</definedName>
    <definedName name="CONSUNTIVO" localSheetId="12">#REF!</definedName>
    <definedName name="CONSUNTIVO">#REF!</definedName>
    <definedName name="CORP_" localSheetId="12">#REF!</definedName>
    <definedName name="CORP_">#REF!</definedName>
    <definedName name="CORPLIT.">#REF!</definedName>
    <definedName name="CORPLIT_">#REF!</definedName>
    <definedName name="Covcost" localSheetId="12">#REF!</definedName>
    <definedName name="Covcost">#REF!</definedName>
    <definedName name="CTACECaps" localSheetId="12">#REF!</definedName>
    <definedName name="CTACECaps">#REF!</definedName>
    <definedName name="CTACECmsa" localSheetId="12">#REF!</definedName>
    <definedName name="CTACECmsa">#REF!</definedName>
    <definedName name="CTACP" localSheetId="12">#REF!</definedName>
    <definedName name="CTACP">#REF!</definedName>
    <definedName name="CTACV" localSheetId="12">#REF!</definedName>
    <definedName name="CTACV">#REF!</definedName>
    <definedName name="CTACVBasa" localSheetId="12">#REF!</definedName>
    <definedName name="CTACVBasa">#REF!</definedName>
    <definedName name="CTACVGru" localSheetId="12">#REF!</definedName>
    <definedName name="CTACVGru">#REF!</definedName>
    <definedName name="CTACVTorre" localSheetId="12">#REF!</definedName>
    <definedName name="CTACVTorre">#REF!</definedName>
    <definedName name="Currency" localSheetId="12">[24]Control!$G$4</definedName>
    <definedName name="Currency">[25]Control!$G$4</definedName>
    <definedName name="CurrentAPrice" localSheetId="12">#REF!</definedName>
    <definedName name="CurrentAPrice">#REF!</definedName>
    <definedName name="CurrentBPrice" localSheetId="12">#REF!</definedName>
    <definedName name="CurrentBPrice">#REF!</definedName>
    <definedName name="currentmonth" localSheetId="12">'[22]Company data'!$B$9</definedName>
    <definedName name="currentmonth">'[23]Company data'!$B$9</definedName>
    <definedName name="currentmonthname" localSheetId="12">'[22]Company data'!$B$11</definedName>
    <definedName name="currentmonthname">'[23]Company data'!$B$11</definedName>
    <definedName name="currentyear" localSheetId="12">'[22]Company data'!$B$17</definedName>
    <definedName name="currentyear">'[23]Company data'!$B$17</definedName>
    <definedName name="CVACECaps" localSheetId="12">#REF!</definedName>
    <definedName name="CVACECaps">#REF!</definedName>
    <definedName name="CVACECmsa" localSheetId="12">#REF!</definedName>
    <definedName name="CVACECmsa">#REF!</definedName>
    <definedName name="CVACP" localSheetId="12">#REF!</definedName>
    <definedName name="CVACP">#REF!</definedName>
    <definedName name="CVACV" localSheetId="12">#REF!</definedName>
    <definedName name="CVACV">#REF!</definedName>
    <definedName name="CVACVBasa" localSheetId="12">#REF!</definedName>
    <definedName name="CVACVBasa">#REF!</definedName>
    <definedName name="CVACVGru" localSheetId="12">#REF!</definedName>
    <definedName name="CVACVGru">#REF!</definedName>
    <definedName name="CVACVTorre" localSheetId="12">#REF!</definedName>
    <definedName name="CVACVTorre">#REF!</definedName>
    <definedName name="cvc">#REF!</definedName>
    <definedName name="CY" localSheetId="12">#REF!</definedName>
    <definedName name="CY">#REF!</definedName>
    <definedName name="d" localSheetId="12">#REF!</definedName>
    <definedName name="D">#REF!</definedName>
    <definedName name="DATA" localSheetId="12">#REF!</definedName>
    <definedName name="DATA">#REF!</definedName>
    <definedName name="DATA_C" localSheetId="12">#REF!</definedName>
    <definedName name="DATA_C">#REF!</definedName>
    <definedName name="DATA_P" localSheetId="12">#REF!</definedName>
    <definedName name="DATA_P">#REF!</definedName>
    <definedName name="Data_pagamento">DATE(YEAR(Inizio_prestito),MONTH(Inizio_prestito)+#NAME?,DAY(Inizio_prestito))</definedName>
    <definedName name="DATE" localSheetId="12">#REF!</definedName>
    <definedName name="DATE">#REF!</definedName>
    <definedName name="Day_Price_30" localSheetId="12">'[26]2Year'!$B$509</definedName>
    <definedName name="Day_Price_30">'[27]2Year'!$B$509</definedName>
    <definedName name="DBloan">'[28]nuovo leasing A '!$B$15:$K$159</definedName>
    <definedName name="DCF" localSheetId="12">#REF!</definedName>
    <definedName name="DCF">#REF!</definedName>
    <definedName name="deducibilitàgw" localSheetId="12">'[29]Ipotesi di base'!$M$12</definedName>
    <definedName name="deducibilitàgw">'[30]Ipotesi di base'!$M$12</definedName>
    <definedName name="dep_new" localSheetId="12">[31]assumptions!$G$22</definedName>
    <definedName name="dep_new">[32]assumptions!$G$22</definedName>
    <definedName name="dep_old" localSheetId="12">[31]assumptions!$G$23</definedName>
    <definedName name="dep_old">[32]assumptions!$G$23</definedName>
    <definedName name="DETERMINAZIONE_DEI_TASSI" localSheetId="12">#REF!</definedName>
    <definedName name="DETERMINAZIONE_DEI_TASSI">#REF!</definedName>
    <definedName name="DISC_RATE" localSheetId="12">[33]Sheet1!$G$39</definedName>
    <definedName name="DISC_RATE">[34]Sheet1!$G$39</definedName>
    <definedName name="Discount" localSheetId="12">#REF!</definedName>
    <definedName name="Discount">#REF!</definedName>
    <definedName name="discount_factor" localSheetId="12">[14]Control!$I$4</definedName>
    <definedName name="discount_factor">[15]Control!$I$4</definedName>
    <definedName name="disposal" localSheetId="12">#REF!</definedName>
    <definedName name="disposal">#REF!</definedName>
    <definedName name="Distcost" localSheetId="12">#REF!</definedName>
    <definedName name="Distcost">#REF!</definedName>
    <definedName name="div" localSheetId="12">#REF!</definedName>
    <definedName name="div">#REF!</definedName>
    <definedName name="divisions" localSheetId="12">#REF!</definedName>
    <definedName name="divisions">#REF!</definedName>
    <definedName name="DM" localSheetId="12">'[35]Comps Inputs'!#REF!</definedName>
    <definedName name="DM">'[36]Comps Inputs'!#REF!</definedName>
    <definedName name="DM_US" localSheetId="12">#REF!</definedName>
    <definedName name="DM_US">#REF!</definedName>
    <definedName name="DOLLARI" localSheetId="12">#REF!</definedName>
    <definedName name="DOLLARI">#REF!</definedName>
    <definedName name="Down" localSheetId="12">#REF!</definedName>
    <definedName name="Down">#REF!</definedName>
    <definedName name="DRIVE_" localSheetId="12">#REF!</definedName>
    <definedName name="DRIVE_">#REF!</definedName>
    <definedName name="DRIVELIT" localSheetId="12">#REF!</definedName>
    <definedName name="DRIVELIT">#REF!</definedName>
    <definedName name="e" localSheetId="12">[37]Macro!#REF!</definedName>
    <definedName name="e">[38]Macro!#REF!</definedName>
    <definedName name="Ebitda_01" localSheetId="12">'[18]1.P&amp;L'!$I$20</definedName>
    <definedName name="Ebitda_01">'[19]1.P&amp;L'!$I$20</definedName>
    <definedName name="Ebitda_02" localSheetId="12">'[18]1.P&amp;L'!$J$20</definedName>
    <definedName name="Ebitda_02">'[19]1.P&amp;L'!$J$20</definedName>
    <definedName name="ECVACVGru" localSheetId="12">#REF!</definedName>
    <definedName name="ECVACVGru">#REF!</definedName>
    <definedName name="ee" localSheetId="12" hidden="1">{#N/A,#N/A,TRUE,"Cover sheet";#N/A,#N/A,TRUE,"Summary";#N/A,#N/A,TRUE,"Key Assumptions";#N/A,#N/A,TRUE,"Profit &amp; Loss";#N/A,#N/A,TRUE,"Balance Sheet";#N/A,#N/A,TRUE,"Cashflow";#N/A,#N/A,TRUE,"IRR";#N/A,#N/A,TRUE,"Ratios";#N/A,#N/A,TRUE,"Debt analysis"}</definedName>
    <definedName name="ee">{#N/A,#N/A,TRUE,"Cover sheet";#N/A,#N/A,TRUE,"Summary";#N/A,#N/A,TRUE,"Key Assumptions";#N/A,#N/A,TRUE,"Profit &amp; Loss";#N/A,#N/A,TRUE,"Balance Sheet";#N/A,#N/A,TRUE,"Cashflow";#N/A,#N/A,TRUE,"IRR";#N/A,#N/A,TRUE,"Ratios";#N/A,#N/A,TRUE,"Debt analysis"}</definedName>
    <definedName name="eer" localSheetId="12" hidden="1">{#N/A,#N/A,TRUE,"Cover sheet";#N/A,#N/A,TRUE,"Summary";#N/A,#N/A,TRUE,"Key Assumptions";#N/A,#N/A,TRUE,"Profit &amp; Loss";#N/A,#N/A,TRUE,"Balance Sheet";#N/A,#N/A,TRUE,"Cashflow";#N/A,#N/A,TRUE,"IRR";#N/A,#N/A,TRUE,"Ratios";#N/A,#N/A,TRUE,"Debt analysis"}</definedName>
    <definedName name="eer">{#N/A,#N/A,TRUE,"Cover sheet";#N/A,#N/A,TRUE,"Summary";#N/A,#N/A,TRUE,"Key Assumptions";#N/A,#N/A,TRUE,"Profit &amp; Loss";#N/A,#N/A,TRUE,"Balance Sheet";#N/A,#N/A,TRUE,"Cashflow";#N/A,#N/A,TRUE,"IRR";#N/A,#N/A,TRUE,"Ratios";#N/A,#N/A,TRUE,"Debt analysis"}</definedName>
    <definedName name="EFACV" localSheetId="12">#REF!</definedName>
    <definedName name="EFACV">#REF!</definedName>
    <definedName name="EFACVBasa" localSheetId="12">#REF!</definedName>
    <definedName name="EFACVBasa">#REF!</definedName>
    <definedName name="EMACV" localSheetId="12">#REF!</definedName>
    <definedName name="EMACV">#REF!</definedName>
    <definedName name="EMACVBasa" localSheetId="12">#REF!</definedName>
    <definedName name="EMACVBasa">#REF!</definedName>
    <definedName name="Endesa1999" localSheetId="12">#REF!</definedName>
    <definedName name="Endesa1999">#REF!</definedName>
    <definedName name="ENDING" localSheetId="12">#REF!</definedName>
    <definedName name="ENDING">#REF!</definedName>
    <definedName name="EniroFee" localSheetId="12">#REF!</definedName>
    <definedName name="EniroFee">#REF!</definedName>
    <definedName name="Equity" localSheetId="12">'[18]Buy Out Overview'!$B$38</definedName>
    <definedName name="Equity">#REF!</definedName>
    <definedName name="Equity_Samm" localSheetId="12">#REF!</definedName>
    <definedName name="Equity_Samm">#REF!</definedName>
    <definedName name="Equity_San" localSheetId="12">#REF!</definedName>
    <definedName name="Equity_San">#REF!</definedName>
    <definedName name="Equity_Value" localSheetId="12">'[18]Buy Out Overview'!$B$8</definedName>
    <definedName name="Equity_Value">'[19]Buy Out Overview'!$B$8</definedName>
    <definedName name="Euro">340.75</definedName>
    <definedName name="Exchange_Rate" localSheetId="12">#REF!</definedName>
    <definedName name="Exchange_Rate">#REF!</definedName>
    <definedName name="Exit_year" localSheetId="12">#REF!</definedName>
    <definedName name="Exit_year">#REF!</definedName>
    <definedName name="ExRate" localSheetId="12">#REF!</definedName>
    <definedName name="ExRate">#REF!</definedName>
    <definedName name="fcf_01" localSheetId="12">#REF!</definedName>
    <definedName name="fcf_01">#REF!</definedName>
    <definedName name="FCFGrowth" localSheetId="12">#REF!</definedName>
    <definedName name="FCFGrowth">#REF!</definedName>
    <definedName name="FD" localSheetId="12">#REF!</definedName>
    <definedName name="FD">#REF!</definedName>
    <definedName name="fee_exp" localSheetId="12">'[18]Buy Out Overview'!$B$24</definedName>
    <definedName name="fee_exp">'[19]Buy Out Overview'!$B$24</definedName>
    <definedName name="FERRO" localSheetId="12">'Debt Covenants '!FERRO</definedName>
    <definedName name="FERRO">FERRO</definedName>
    <definedName name="FFr">6.55957</definedName>
    <definedName name="fig" localSheetId="12">[39]Info!$C$8</definedName>
    <definedName name="fig">[40]Info!$C$8</definedName>
    <definedName name="Figures" localSheetId="12">#REF!</definedName>
    <definedName name="Figures">#REF!</definedName>
    <definedName name="filename" localSheetId="12">#REF!</definedName>
    <definedName name="filename">#REF!</definedName>
    <definedName name="FP_US" localSheetId="12">#REF!</definedName>
    <definedName name="FP_US">#REF!</definedName>
    <definedName name="FRF" localSheetId="12">#REF!</definedName>
    <definedName name="FRF">#REF!</definedName>
    <definedName name="FTACECaps" localSheetId="12">#REF!</definedName>
    <definedName name="FTACECaps">#REF!</definedName>
    <definedName name="FTACECmsa" localSheetId="12">#REF!</definedName>
    <definedName name="FTACECmsa">#REF!</definedName>
    <definedName name="FTACP" localSheetId="12">#REF!</definedName>
    <definedName name="FTACP">#REF!</definedName>
    <definedName name="FTACV" localSheetId="12">#REF!</definedName>
    <definedName name="FTACV">#REF!</definedName>
    <definedName name="FTACVBasa" localSheetId="12">#REF!</definedName>
    <definedName name="FTACVBasa">#REF!</definedName>
    <definedName name="FTACVGru" localSheetId="12">#REF!</definedName>
    <definedName name="FTACVGru">#REF!</definedName>
    <definedName name="FTACVTorre" localSheetId="12">#REF!</definedName>
    <definedName name="FTACVTorre">#REF!</definedName>
    <definedName name="fuckhead" localSheetId="12">#REF!</definedName>
    <definedName name="fuckhead">#REF!</definedName>
    <definedName name="FXrate" localSheetId="12">#REF!</definedName>
    <definedName name="FXrate">#REF!</definedName>
    <definedName name="GBP" localSheetId="12">#REF!</definedName>
    <definedName name="GBP">#REF!</definedName>
    <definedName name="GBPAVG1" localSheetId="12">'[35]Comps Inputs'!#REF!</definedName>
    <definedName name="GBPAVG1">'[36]Comps Inputs'!#REF!</definedName>
    <definedName name="GBPL1" localSheetId="12">'[35]Comps Inputs'!#REF!</definedName>
    <definedName name="GBPL1">'[36]Comps Inputs'!#REF!</definedName>
    <definedName name="gInsertNewCompany" localSheetId="12">'Debt Covenants '!gInsertNewCompany</definedName>
    <definedName name="gInsertNewCompany">gInsertNewCompany</definedName>
    <definedName name="gPrintActivitiesPage" localSheetId="12">'Debt Covenants '!gPrintActivitiesPage</definedName>
    <definedName name="gPrintActivitiesPage">gPrintActivitiesPage</definedName>
    <definedName name="gPrintAll" localSheetId="12">'Debt Covenants '!gPrintAll</definedName>
    <definedName name="gPrintAll">gPrintAll</definedName>
    <definedName name="gPrintBaseDataPage" localSheetId="12">'Debt Covenants '!gPrintBaseDataPage</definedName>
    <definedName name="gPrintBaseDataPage">gPrintBaseDataPage</definedName>
    <definedName name="gPrintBBExecPage" localSheetId="12">'Debt Covenants '!gPrintBBExecPage</definedName>
    <definedName name="gPrintBBExecPage">gPrintBBExecPage</definedName>
    <definedName name="gPrintMultiplesPage" localSheetId="12">'Debt Covenants '!gPrintMultiplesPage</definedName>
    <definedName name="gPrintMultiplesPage">gPrintMultiplesPage</definedName>
    <definedName name="gPrintTitlePage" localSheetId="12">'Debt Covenants '!gPrintTitlePage</definedName>
    <definedName name="gPrintTitlePage">gPrintTitlePage</definedName>
    <definedName name="gProtectAll" localSheetId="12">'Debt Covenants '!gProtectAll</definedName>
    <definedName name="gProtectAll">gProtectAll</definedName>
    <definedName name="graf" localSheetId="12">'Debt Covenants '!graf</definedName>
    <definedName name="graf">graf</definedName>
    <definedName name="gUnprotectAll" localSheetId="12">'Debt Covenants '!gUnprotectAll</definedName>
    <definedName name="gUnprotectAll">gUnprotectAll</definedName>
    <definedName name="HK_US" localSheetId="12">#REF!</definedName>
    <definedName name="HK_US">#REF!</definedName>
    <definedName name="HOSE_" localSheetId="12">#REF!</definedName>
    <definedName name="HOSE_">#REF!</definedName>
    <definedName name="HOSELIT.">#REF!</definedName>
    <definedName name="HOSELIT_">#REF!</definedName>
    <definedName name="HTML_CodePage" hidden="1">1252</definedName>
    <definedName name="HTML_Control" localSheetId="18" hidden="1">{"'Sheet1'!$A$1:$H$145"}</definedName>
    <definedName name="HTML_Control" localSheetId="21"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mporto_prestito">'[7]Piano ammortamento prestito'!$E$5</definedName>
    <definedName name="imposte" localSheetId="12">[41]Ipotesi!#REF!</definedName>
    <definedName name="imposte">[42]Ipotesi!#REF!</definedName>
    <definedName name="Income_Taxe_Rate" localSheetId="18">'[8]Other Input Data'!$B$1</definedName>
    <definedName name="Income_Taxe_Rate">'[9]Other Input Data'!$B$1</definedName>
    <definedName name="INDICATORI____Tassi_di_sviluppo" localSheetId="12">#REF!</definedName>
    <definedName name="INDICATORI____Tassi_di_sviluppo">#REF!</definedName>
    <definedName name="INDICATORI_DI_REDDITIVITA" localSheetId="12">#REF!</definedName>
    <definedName name="INDICATORI_DI_REDDITIVITA">#REF!</definedName>
    <definedName name="INDICATORI_ECONOMICI" localSheetId="12">#REF!</definedName>
    <definedName name="INDICATORI_ECONOMICI">#REF!</definedName>
    <definedName name="Inizio_prestito">'[7]Piano ammortamento prestito'!$E$9</definedName>
    <definedName name="INSERTCO" localSheetId="12">#REF!</definedName>
    <definedName name="INSERTCO">#REF!</definedName>
    <definedName name="int" localSheetId="12">#REF!</definedName>
    <definedName name="int">#REF!</definedName>
    <definedName name="InterestAverage" localSheetId="12">#REF!</definedName>
    <definedName name="InterestAverage">#REF!</definedName>
    <definedName name="ir" localSheetId="12">#REF!</definedName>
    <definedName name="ir">#REF!</definedName>
    <definedName name="ir_" localSheetId="12">#REF!</definedName>
    <definedName name="ir_">#REF!</definedName>
    <definedName name="ir__" localSheetId="12">#REF!</definedName>
    <definedName name="ir__">#REF!</definedName>
    <definedName name="ir_l" localSheetId="12">#REF!</definedName>
    <definedName name="ir_l">#REF!</definedName>
    <definedName name="ir_t" localSheetId="12">#REF!</definedName>
    <definedName name="ir_t">#REF!</definedName>
    <definedName name="ITL">1936.27</definedName>
    <definedName name="ITL_US" localSheetId="12">#REF!</definedName>
    <definedName name="ITL_US">#REF!</definedName>
    <definedName name="ITLAVG1" localSheetId="12">'[35]Comps Inputs'!#REF!</definedName>
    <definedName name="ITLAVG1">'[36]Comps Inputs'!#REF!</definedName>
    <definedName name="ITLL1" localSheetId="12">'[35]Comps Inputs'!#REF!</definedName>
    <definedName name="ITLL1">'[36]Comps Inputs'!#REF!</definedName>
    <definedName name="k" localSheetId="18">#REF!</definedName>
    <definedName name="k">#REF!</definedName>
    <definedName name="ki" localSheetId="12" hidden="1">{#N/A,#N/A,TRUE,"Cover sheet";#N/A,#N/A,TRUE,"Summary";#N/A,#N/A,TRUE,"Key Assumptions";#N/A,#N/A,TRUE,"Profit &amp; Loss";#N/A,#N/A,TRUE,"Balance Sheet";#N/A,#N/A,TRUE,"Cashflow";#N/A,#N/A,TRUE,"IRR";#N/A,#N/A,TRUE,"Ratios";#N/A,#N/A,TRUE,"Debt analysis"}</definedName>
    <definedName name="ki">{#N/A,#N/A,TRUE,"Cover sheet";#N/A,#N/A,TRUE,"Summary";#N/A,#N/A,TRUE,"Key Assumptions";#N/A,#N/A,TRUE,"Profit &amp; Loss";#N/A,#N/A,TRUE,"Balance Sheet";#N/A,#N/A,TRUE,"Cashflow";#N/A,#N/A,TRUE,"IRR";#N/A,#N/A,TRUE,"Ratios";#N/A,#N/A,TRUE,"Debt analysis"}</definedName>
    <definedName name="LBOPrice" localSheetId="12">#REF!</definedName>
    <definedName name="LBOPrice">#REF!</definedName>
    <definedName name="LEGLIT" localSheetId="12">#REF!</definedName>
    <definedName name="LEGLIT">#REF!</definedName>
    <definedName name="LFY" localSheetId="12">#REF!</definedName>
    <definedName name="LFY">#REF!</definedName>
    <definedName name="Lire_FF" localSheetId="12">#REF!</definedName>
    <definedName name="Lire_FF">#REF!</definedName>
    <definedName name="ListCagr" localSheetId="12">'[12]Control (In)'!$M$5:$N$38</definedName>
    <definedName name="ListCagr">'[13]Control (In)'!$M$5:$N$38</definedName>
    <definedName name="ListNames" localSheetId="12">'[12]Control (In)'!$O$5:$O$44</definedName>
    <definedName name="ListNames">'[13]Control (In)'!$O$5:$O$44</definedName>
    <definedName name="ListRatios" localSheetId="12">'[12]Control (In)'!$M$5:$M$38</definedName>
    <definedName name="ListRatios">'[13]Control (In)'!$M$5:$M$38</definedName>
    <definedName name="ll" localSheetId="12" hidden="1">{#N/A,#N/A,TRUE,"Cover sheet";#N/A,#N/A,TRUE,"Summary";#N/A,#N/A,TRUE,"Key Assumptions";#N/A,#N/A,TRUE,"Profit &amp; Loss";#N/A,#N/A,TRUE,"Balance Sheet";#N/A,#N/A,TRUE,"Cashflow";#N/A,#N/A,TRUE,"IRR";#N/A,#N/A,TRUE,"Ratios";#N/A,#N/A,TRUE,"Debt analysis"}</definedName>
    <definedName name="ll">{#N/A,#N/A,TRUE,"Cover sheet";#N/A,#N/A,TRUE,"Summary";#N/A,#N/A,TRUE,"Key Assumptions";#N/A,#N/A,TRUE,"Profit &amp; Loss";#N/A,#N/A,TRUE,"Balance Sheet";#N/A,#N/A,TRUE,"Cashflow";#N/A,#N/A,TRUE,"IRR";#N/A,#N/A,TRUE,"Ratios";#N/A,#N/A,TRUE,"Debt analysis"}</definedName>
    <definedName name="LQE" localSheetId="12">#REF!</definedName>
    <definedName name="LQE">#REF!</definedName>
    <definedName name="ManagementEquity" localSheetId="12">#REF!</definedName>
    <definedName name="ManagementEquity">#REF!</definedName>
    <definedName name="ManagementOwnership" localSheetId="12">#REF!</definedName>
    <definedName name="ManagementOwnership">#REF!</definedName>
    <definedName name="MAONE" localSheetId="12">#REF!</definedName>
    <definedName name="MAONE">#REF!</definedName>
    <definedName name="Margins" localSheetId="12">#REF!</definedName>
    <definedName name="Margins">#REF!</definedName>
    <definedName name="MATHREE" localSheetId="12">#REF!</definedName>
    <definedName name="MATHREE">#REF!</definedName>
    <definedName name="MATWO" localSheetId="12">#REF!</definedName>
    <definedName name="MATWO">#REF!</definedName>
    <definedName name="MergerPremium" localSheetId="12">#REF!</definedName>
    <definedName name="MergerPremium">#REF!</definedName>
    <definedName name="MergerPrice" localSheetId="12">#REF!</definedName>
    <definedName name="MergerPrice">#REF!</definedName>
    <definedName name="MergerPurchasePrice" localSheetId="12">#REF!</definedName>
    <definedName name="MergerPurchasePrice">#REF!</definedName>
    <definedName name="MergerTransactionValue" localSheetId="12">#REF!</definedName>
    <definedName name="MergerTransactionValue">#REF!</definedName>
    <definedName name="Mon" localSheetId="12">#REF!</definedName>
    <definedName name="Mon">#REF!</definedName>
    <definedName name="MONTH" localSheetId="12">#REF!</definedName>
    <definedName name="MONTH">#REF!</definedName>
    <definedName name="MTACECaps" localSheetId="12">#REF!</definedName>
    <definedName name="MTACECaps">#REF!</definedName>
    <definedName name="MTACECmsa" localSheetId="12">#REF!</definedName>
    <definedName name="MTACECmsa">#REF!</definedName>
    <definedName name="MTACP" localSheetId="12">#REF!</definedName>
    <definedName name="MTACP">#REF!</definedName>
    <definedName name="MTACV" localSheetId="12">#REF!</definedName>
    <definedName name="MTACV">#REF!</definedName>
    <definedName name="MTACVBasa" localSheetId="12">#REF!</definedName>
    <definedName name="MTACVBasa">#REF!</definedName>
    <definedName name="MTACVGru" localSheetId="12">#REF!</definedName>
    <definedName name="MTACVGru">#REF!</definedName>
    <definedName name="MTACVTorre" localSheetId="12">#REF!</definedName>
    <definedName name="MTACVTorre">#REF!</definedName>
    <definedName name="Multiple" localSheetId="12">#REF!</definedName>
    <definedName name="Multiple">#REF!</definedName>
    <definedName name="MULTIPLE_C" localSheetId="12">#REF!</definedName>
    <definedName name="MULTIPLE_C">#REF!</definedName>
    <definedName name="MULTIPLE_F" localSheetId="12">#REF!</definedName>
    <definedName name="MULTIPLE_F">#REF!</definedName>
    <definedName name="MULTIPLES_P" localSheetId="12">#REF!</definedName>
    <definedName name="MULTIPLES_P">#REF!</definedName>
    <definedName name="na" localSheetId="12">[24]Control!$C$5</definedName>
    <definedName name="na">[25]Control!$C$5</definedName>
    <definedName name="Name" localSheetId="12">#REF!</definedName>
    <definedName name="Name">#REF!</definedName>
    <definedName name="NLG">2.20371</definedName>
    <definedName name="NOTES" localSheetId="12">#REF!</definedName>
    <definedName name="NOTES">#REF!</definedName>
    <definedName name="now" localSheetId="12">#REF!</definedName>
    <definedName name="now">#REF!</definedName>
    <definedName name="Num_shares" localSheetId="12">#REF!</definedName>
    <definedName name="Num_shares">#REF!</definedName>
    <definedName name="Numero_di_pagamenti">MATCH(0.01,Sal_fin,-1)+1</definedName>
    <definedName name="NY" localSheetId="12">#REF!</definedName>
    <definedName name="NY">#REF!</definedName>
    <definedName name="OLE_LINK1" localSheetId="1">'Business Plan checklist'!#REF!</definedName>
    <definedName name="oo" localSheetId="12" hidden="1">{#N/A,#N/A,TRUE,"Cover sheet";#N/A,#N/A,TRUE,"Summary";#N/A,#N/A,TRUE,"Key Assumptions";#N/A,#N/A,TRUE,"Profit &amp; Loss";#N/A,#N/A,TRUE,"Balance Sheet";#N/A,#N/A,TRUE,"Cashflow";#N/A,#N/A,TRUE,"IRR";#N/A,#N/A,TRUE,"Ratios";#N/A,#N/A,TRUE,"Debt analysis"}</definedName>
    <definedName name="oo">{#N/A,#N/A,TRUE,"Cover sheet";#N/A,#N/A,TRUE,"Summary";#N/A,#N/A,TRUE,"Key Assumptions";#N/A,#N/A,TRUE,"Profit &amp; Loss";#N/A,#N/A,TRUE,"Balance Sheet";#N/A,#N/A,TRUE,"Cashflow";#N/A,#N/A,TRUE,"IRR";#N/A,#N/A,TRUE,"Ratios";#N/A,#N/A,TRUE,"Debt analysis"}</definedName>
    <definedName name="oooo" localSheetId="12" hidden="1">{#N/A,#N/A,TRUE,"Cover sheet";#N/A,#N/A,TRUE,"Summary";#N/A,#N/A,TRUE,"Key Assumptions";#N/A,#N/A,TRUE,"Profit &amp; Loss";#N/A,#N/A,TRUE,"Balance Sheet";#N/A,#N/A,TRUE,"Cashflow";#N/A,#N/A,TRUE,"IRR";#N/A,#N/A,TRUE,"Ratios";#N/A,#N/A,TRUE,"Debt analysis"}</definedName>
    <definedName name="oooo">{#N/A,#N/A,TRUE,"Cover sheet";#N/A,#N/A,TRUE,"Summary";#N/A,#N/A,TRUE,"Key Assumptions";#N/A,#N/A,TRUE,"Profit &amp; Loss";#N/A,#N/A,TRUE,"Balance Sheet";#N/A,#N/A,TRUE,"Cashflow";#N/A,#N/A,TRUE,"IRR";#N/A,#N/A,TRUE,"Ratios";#N/A,#N/A,TRUE,"Debt analysis"}</definedName>
    <definedName name="oooooooooooo" localSheetId="12" hidden="1">{#N/A,#N/A,TRUE,"Cover sheet";#N/A,#N/A,TRUE,"Summary";#N/A,#N/A,TRUE,"Key Assumptions";#N/A,#N/A,TRUE,"Profit &amp; Loss";#N/A,#N/A,TRUE,"Balance Sheet";#N/A,#N/A,TRUE,"Cashflow";#N/A,#N/A,TRUE,"IRR";#N/A,#N/A,TRUE,"Ratios";#N/A,#N/A,TRUE,"Debt analysis"}</definedName>
    <definedName name="oooooooooooo">{#N/A,#N/A,TRUE,"Cover sheet";#N/A,#N/A,TRUE,"Summary";#N/A,#N/A,TRUE,"Key Assumptions";#N/A,#N/A,TRUE,"Profit &amp; Loss";#N/A,#N/A,TRUE,"Balance Sheet";#N/A,#N/A,TRUE,"Cashflow";#N/A,#N/A,TRUE,"IRR";#N/A,#N/A,TRUE,"Ratios";#N/A,#N/A,TRUE,"Debt analysis"}</definedName>
    <definedName name="OptionsSharesIssued" localSheetId="12">#REF!</definedName>
    <definedName name="OptionsSharesIssued">#REF!</definedName>
    <definedName name="OptionsSharesIssuedTreasury" localSheetId="12">#REF!</definedName>
    <definedName name="OptionsSharesIssuedTreasury">#REF!</definedName>
    <definedName name="p" localSheetId="12" hidden="1">{#N/A,#N/A,TRUE,"Cover sheet";#N/A,#N/A,TRUE,"Summary";#N/A,#N/A,TRUE,"Key Assumptions";#N/A,#N/A,TRUE,"Profit &amp; Loss";#N/A,#N/A,TRUE,"Balance Sheet";#N/A,#N/A,TRUE,"Cashflow";#N/A,#N/A,TRUE,"IRR";#N/A,#N/A,TRUE,"Ratios";#N/A,#N/A,TRUE,"Debt analysis"}</definedName>
    <definedName name="p">{#N/A,#N/A,TRUE,"Cover sheet";#N/A,#N/A,TRUE,"Summary";#N/A,#N/A,TRUE,"Key Assumptions";#N/A,#N/A,TRUE,"Profit &amp; Loss";#N/A,#N/A,TRUE,"Balance Sheet";#N/A,#N/A,TRUE,"Cashflow";#N/A,#N/A,TRUE,"IRR";#N/A,#N/A,TRUE,"Ratios";#N/A,#N/A,TRUE,"Debt analysis"}</definedName>
    <definedName name="PDACECaps" localSheetId="12">#REF!</definedName>
    <definedName name="PDACECaps">#REF!</definedName>
    <definedName name="PDACECmsa" localSheetId="12">#REF!</definedName>
    <definedName name="PDACECmsa">#REF!</definedName>
    <definedName name="PDACP" localSheetId="12">#REF!</definedName>
    <definedName name="PDACP">#REF!</definedName>
    <definedName name="PDACV" localSheetId="12">#REF!</definedName>
    <definedName name="PDACV">#REF!</definedName>
    <definedName name="PDACVBasa" localSheetId="12">#REF!</definedName>
    <definedName name="PDACVBasa">#REF!</definedName>
    <definedName name="PDACVGru" localSheetId="12">#REF!</definedName>
    <definedName name="PDACVGru">#REF!</definedName>
    <definedName name="PDACVTorre" localSheetId="12">#REF!</definedName>
    <definedName name="PDACVTorre">#REF!</definedName>
    <definedName name="PeAMACECaps" localSheetId="12">#REF!</definedName>
    <definedName name="PeAMACECaps">#REF!</definedName>
    <definedName name="PeAMACECmsa" localSheetId="12">#REF!</definedName>
    <definedName name="PeAMACECmsa">#REF!</definedName>
    <definedName name="PeAMACP" localSheetId="12">#REF!</definedName>
    <definedName name="PeAMACP">#REF!</definedName>
    <definedName name="PeAMACVBasa" localSheetId="12">#REF!</definedName>
    <definedName name="PeAMACVBasa">#REF!</definedName>
    <definedName name="PeAMACVGru" localSheetId="12">#REF!</definedName>
    <definedName name="PeAMACVGru">#REF!</definedName>
    <definedName name="PeAMACVTOrre" localSheetId="12">#REF!</definedName>
    <definedName name="PeAMACVTOrre">#REF!</definedName>
    <definedName name="PeCTACECaps" localSheetId="12">#REF!</definedName>
    <definedName name="PeCTACECaps">#REF!</definedName>
    <definedName name="PeCTACECmsa" localSheetId="12">#REF!</definedName>
    <definedName name="PeCTACECmsa">#REF!</definedName>
    <definedName name="PeCTACP" localSheetId="12">#REF!</definedName>
    <definedName name="PeCTACP">#REF!</definedName>
    <definedName name="PeCTACVBasa" localSheetId="12">#REF!</definedName>
    <definedName name="PeCTACVBasa">#REF!</definedName>
    <definedName name="PeCTACVGru" localSheetId="12">#REF!</definedName>
    <definedName name="PeCTACVGru">#REF!</definedName>
    <definedName name="PeCTACVTorre" localSheetId="12">#REF!</definedName>
    <definedName name="PeCTACVTorre">#REF!</definedName>
    <definedName name="PePDACECaps" localSheetId="12">#REF!</definedName>
    <definedName name="PePDACECaps">#REF!</definedName>
    <definedName name="PePDACECmsa" localSheetId="12">#REF!</definedName>
    <definedName name="PePDACECmsa">#REF!</definedName>
    <definedName name="PePDACP" localSheetId="12">#REF!</definedName>
    <definedName name="PePDACP">#REF!</definedName>
    <definedName name="PePDACVBasa" localSheetId="12">#REF!</definedName>
    <definedName name="PePDACVBasa">#REF!</definedName>
    <definedName name="PePDACVGru" localSheetId="12">#REF!</definedName>
    <definedName name="PePDACVGru">#REF!</definedName>
    <definedName name="PePDACVTorre" localSheetId="12">#REF!</definedName>
    <definedName name="PePDACVTorre">#REF!</definedName>
    <definedName name="PePIACECaps" localSheetId="12">#REF!</definedName>
    <definedName name="PePIACECaps">#REF!</definedName>
    <definedName name="PePIACECmsa" localSheetId="12">#REF!</definedName>
    <definedName name="PePIACECmsa">#REF!</definedName>
    <definedName name="PePIACP" localSheetId="12">#REF!</definedName>
    <definedName name="PePIACP">#REF!</definedName>
    <definedName name="PePIACVBasa" localSheetId="12">#REF!</definedName>
    <definedName name="PePIACVBasa">#REF!</definedName>
    <definedName name="PePIACVGru" localSheetId="12">#REF!</definedName>
    <definedName name="PePIACVGru">#REF!</definedName>
    <definedName name="PePIACVTorre" localSheetId="12">#REF!</definedName>
    <definedName name="PePIACVTorre">#REF!</definedName>
    <definedName name="Percentage_of_Total_Capital_Supplied_by_Debt" localSheetId="18">'[8]Other Input Data'!$B$7</definedName>
    <definedName name="Percentage_of_Total_Capital_Supplied_by_Debt">'[9]Other Input Data'!$B$7</definedName>
    <definedName name="Percentage_of_Total_Capital_Supplied_by_Equity" localSheetId="18">'[8]Other Input Data'!$B$6</definedName>
    <definedName name="Percentage_of_Total_Capital_Supplied_by_Equity">'[9]Other Input Data'!$B$6</definedName>
    <definedName name="PERCENTUALI" localSheetId="12">#REF!</definedName>
    <definedName name="PERCENTUALI">#REF!</definedName>
    <definedName name="perp_growth" localSheetId="12">[14]Control!$J$4</definedName>
    <definedName name="perp_growth">[15]Control!$J$4</definedName>
    <definedName name="PES_US" localSheetId="12">#REF!</definedName>
    <definedName name="PES_US">#REF!</definedName>
    <definedName name="PFACECaps" localSheetId="12">#REF!</definedName>
    <definedName name="PFACECaps">#REF!</definedName>
    <definedName name="PFACECmsa" localSheetId="12">#REF!</definedName>
    <definedName name="PFACECmsa">#REF!</definedName>
    <definedName name="PFACP" localSheetId="12">#REF!</definedName>
    <definedName name="PFACP">#REF!</definedName>
    <definedName name="PFACV" localSheetId="12">#REF!</definedName>
    <definedName name="PFACV">#REF!</definedName>
    <definedName name="PFACVBasa" localSheetId="12">#REF!</definedName>
    <definedName name="PFACVBasa">#REF!</definedName>
    <definedName name="PFACVTorre" localSheetId="12">#REF!</definedName>
    <definedName name="PFACVTorre">#REF!</definedName>
    <definedName name="PIACEcaps" localSheetId="12">#REF!</definedName>
    <definedName name="PIACEcaps">#REF!</definedName>
    <definedName name="PIACECmsa" localSheetId="12">#REF!</definedName>
    <definedName name="PIACECmsa">#REF!</definedName>
    <definedName name="PIACP" localSheetId="12">#REF!</definedName>
    <definedName name="PIACP">#REF!</definedName>
    <definedName name="PIACV" localSheetId="12">#REF!</definedName>
    <definedName name="PIACV">#REF!</definedName>
    <definedName name="PIACVBasa" localSheetId="12">#REF!</definedName>
    <definedName name="PIACVBasa">#REF!</definedName>
    <definedName name="PIACVGru" localSheetId="12">#REF!</definedName>
    <definedName name="PIACVGru">#REF!</definedName>
    <definedName name="PIACVTorre" localSheetId="12">#REF!</definedName>
    <definedName name="PIACVTorre">#REF!</definedName>
    <definedName name="piano" localSheetId="12">#REF!</definedName>
    <definedName name="piano">#REF!</definedName>
    <definedName name="pl" localSheetId="12" hidden="1">{#N/A,#N/A,TRUE,"Cover sheet";#N/A,#N/A,TRUE,"Summary";#N/A,#N/A,TRUE,"Key Assumptions";#N/A,#N/A,TRUE,"Profit &amp; Loss";#N/A,#N/A,TRUE,"Balance Sheet";#N/A,#N/A,TRUE,"Cashflow";#N/A,#N/A,TRUE,"IRR";#N/A,#N/A,TRUE,"Ratios";#N/A,#N/A,TRUE,"Debt analysis"}</definedName>
    <definedName name="pl">{#N/A,#N/A,TRUE,"Cover sheet";#N/A,#N/A,TRUE,"Summary";#N/A,#N/A,TRUE,"Key Assumptions";#N/A,#N/A,TRUE,"Profit &amp; Loss";#N/A,#N/A,TRUE,"Balance Sheet";#N/A,#N/A,TRUE,"Cashflow";#N/A,#N/A,TRUE,"IRR";#N/A,#N/A,TRUE,"Ratios";#N/A,#N/A,TRUE,"Debt analysis"}</definedName>
    <definedName name="pp" localSheetId="12" hidden="1">{#N/A,#N/A,TRUE,"Cover sheet";#N/A,#N/A,TRUE,"Summary";#N/A,#N/A,TRUE,"Key Assumptions";#N/A,#N/A,TRUE,"Profit &amp; Loss";#N/A,#N/A,TRUE,"Balance Sheet";#N/A,#N/A,TRUE,"Cashflow";#N/A,#N/A,TRUE,"IRR";#N/A,#N/A,TRUE,"Ratios";#N/A,#N/A,TRUE,"Debt analysis"}</definedName>
    <definedName name="pp">{#N/A,#N/A,TRUE,"Cover sheet";#N/A,#N/A,TRUE,"Summary";#N/A,#N/A,TRUE,"Key Assumptions";#N/A,#N/A,TRUE,"Profit &amp; Loss";#N/A,#N/A,TRUE,"Balance Sheet";#N/A,#N/A,TRUE,"Cashflow";#N/A,#N/A,TRUE,"IRR";#N/A,#N/A,TRUE,"Ratios";#N/A,#N/A,TRUE,"Debt analysis"}</definedName>
    <definedName name="PreferredCoupon" localSheetId="12">#REF!</definedName>
    <definedName name="PreferredCoupon">#REF!</definedName>
    <definedName name="PreferredOwnership" localSheetId="12">#REF!</definedName>
    <definedName name="PreferredOwnership">#REF!</definedName>
    <definedName name="Premium" localSheetId="12">#REF!</definedName>
    <definedName name="Premium">#REF!</definedName>
    <definedName name="Pres" localSheetId="12" hidden="1">{#N/A,#N/A,TRUE,"Cover sheet";#N/A,#N/A,TRUE,"Summary";#N/A,#N/A,TRUE,"Key Assumptions";#N/A,#N/A,TRUE,"Profit &amp; Loss";#N/A,#N/A,TRUE,"Balance Sheet";#N/A,#N/A,TRUE,"Cashflow";#N/A,#N/A,TRUE,"IRR";#N/A,#N/A,TRUE,"Ratios";#N/A,#N/A,TRUE,"Debt analysis"}</definedName>
    <definedName name="Pres">{#N/A,#N/A,TRUE,"Cover sheet";#N/A,#N/A,TRUE,"Summary";#N/A,#N/A,TRUE,"Key Assumptions";#N/A,#N/A,TRUE,"Profit &amp; Loss";#N/A,#N/A,TRUE,"Balance Sheet";#N/A,#N/A,TRUE,"Cashflow";#N/A,#N/A,TRUE,"IRR";#N/A,#N/A,TRUE,"Ratios";#N/A,#N/A,TRUE,"Debt analysis"}</definedName>
    <definedName name="PRINTALL" localSheetId="12">#REF!</definedName>
    <definedName name="PRINTALL">#REF!</definedName>
    <definedName name="PRINTBBEXEC" localSheetId="12">#REF!</definedName>
    <definedName name="PRINTBBEXEC">#REF!</definedName>
    <definedName name="PRINTDATA" localSheetId="12">#REF!</definedName>
    <definedName name="PRINTDATA">#REF!</definedName>
    <definedName name="PRINTMULT" localSheetId="12">#REF!</definedName>
    <definedName name="PRINTMULT">#REF!</definedName>
    <definedName name="PRINTTITLE" localSheetId="12">#REF!</definedName>
    <definedName name="PRINTTITLE">#REF!</definedName>
    <definedName name="Project" localSheetId="12">#REF!</definedName>
    <definedName name="Project">#REF!</definedName>
    <definedName name="Project_Name" localSheetId="12">[43]Cover!$B$13</definedName>
    <definedName name="Project_Name">[44]Cover!$B$13</definedName>
    <definedName name="ProjectName" localSheetId="12">{"Client Name or Project Name"}</definedName>
    <definedName name="ProjectName">{"Client Name or Project Name"}</definedName>
    <definedName name="PropPaint" localSheetId="12">[45]CompLink!$E$65</definedName>
    <definedName name="PropPaint">[46]CompLink!$E$65</definedName>
    <definedName name="PropPerf" localSheetId="12">[47]CompLink!$E$64</definedName>
    <definedName name="PropPerf">[48]CompLink!$E$64</definedName>
    <definedName name="PROSPETTO_DEI_FLUSSI_DI_CASSA" localSheetId="12">#REF!</definedName>
    <definedName name="PROSPETTO_DEI_FLUSSI_DI_CASSA">#REF!</definedName>
    <definedName name="PROSPETTO_DI_ANDAMENTO_DELLE_VENDITE" localSheetId="12">#REF!</definedName>
    <definedName name="PROSPETTO_DI_ANDAMENTO_DELLE_VENDITE">#REF!</definedName>
    <definedName name="PROTWORKS" localSheetId="12">#REF!</definedName>
    <definedName name="PROTWORKS">#REF!</definedName>
    <definedName name="Purchase_Price" localSheetId="12">#REF!</definedName>
    <definedName name="Purchase_Price">#REF!</definedName>
    <definedName name="Py_dec">'[1]IN Py'!$P$4:$P$164</definedName>
    <definedName name="Py_mon">'[1]IN Py'!$Q$4:$Q$164</definedName>
    <definedName name="Py_ytd">'[1]IN Py'!$R$4:$R$164</definedName>
    <definedName name="qq" localSheetId="12" hidden="1">{#N/A,#N/A,TRUE,"Cover sheet";#N/A,#N/A,TRUE,"Summary";#N/A,#N/A,TRUE,"Key Assumptions";#N/A,#N/A,TRUE,"Profit &amp; Loss";#N/A,#N/A,TRUE,"Balance Sheet";#N/A,#N/A,TRUE,"Cashflow";#N/A,#N/A,TRUE,"IRR";#N/A,#N/A,TRUE,"Ratios";#N/A,#N/A,TRUE,"Debt analysis"}</definedName>
    <definedName name="qq">{#N/A,#N/A,TRUE,"Cover sheet";#N/A,#N/A,TRUE,"Summary";#N/A,#N/A,TRUE,"Key Assumptions";#N/A,#N/A,TRUE,"Profit &amp; Loss";#N/A,#N/A,TRUE,"Balance Sheet";#N/A,#N/A,TRUE,"Cashflow";#N/A,#N/A,TRUE,"IRR";#N/A,#N/A,TRUE,"Ratios";#N/A,#N/A,TRUE,"Debt analysis"}</definedName>
    <definedName name="QuickPrintFluidHandling" localSheetId="12">[49]!QuickPrintFluidHandling</definedName>
    <definedName name="QuickPrintFluidHandling">[50]!QuickPrintFluidHandling</definedName>
    <definedName name="QuickPrintFuel" localSheetId="12">[49]!QuickPrintFuel</definedName>
    <definedName name="QuickPrintFuel">[50]!QuickPrintFuel</definedName>
    <definedName name="Rate_of_Return_of_a_Market_Index" localSheetId="18">'[8]Other Input Data'!$B$2</definedName>
    <definedName name="Rate_of_Return_of_a_Market_Index">'[9]Other Input Data'!$B$2</definedName>
    <definedName name="recap" localSheetId="12">#REF!</definedName>
    <definedName name="recap">#REF!</definedName>
    <definedName name="Reimp_area_stampa">OFFSET(Stampa_compl,0,0,Ultima_riga)</definedName>
    <definedName name="RemainingEquity" localSheetId="12">#REF!</definedName>
    <definedName name="RemainingEquity">#REF!</definedName>
    <definedName name="RemainingOwnership" localSheetId="12">#REF!</definedName>
    <definedName name="RemainingOwnership">#REF!</definedName>
    <definedName name="Riga_intestazione">ROW('[7]Piano ammortamento prestito'!$17:$17)</definedName>
    <definedName name="rr" localSheetId="12" hidden="1">{#N/A,#N/A,TRUE,"Cover sheet";#N/A,#N/A,TRUE,"Summary";#N/A,#N/A,TRUE,"Key Assumptions";#N/A,#N/A,TRUE,"Profit &amp; Loss";#N/A,#N/A,TRUE,"Balance Sheet";#N/A,#N/A,TRUE,"Cashflow";#N/A,#N/A,TRUE,"IRR";#N/A,#N/A,TRUE,"Ratios";#N/A,#N/A,TRUE,"Debt analysis"}</definedName>
    <definedName name="rr">{#N/A,#N/A,TRUE,"Cover sheet";#N/A,#N/A,TRUE,"Summary";#N/A,#N/A,TRUE,"Key Assumptions";#N/A,#N/A,TRUE,"Profit &amp; Loss";#N/A,#N/A,TRUE,"Balance Sheet";#N/A,#N/A,TRUE,"Cashflow";#N/A,#N/A,TRUE,"IRR";#N/A,#N/A,TRUE,"Ratios";#N/A,#N/A,TRUE,"Debt analysis"}</definedName>
    <definedName name="rt" localSheetId="12" hidden="1">{#N/A,#N/A,TRUE,"Cover sheet";#N/A,#N/A,TRUE,"Summary";#N/A,#N/A,TRUE,"Key Assumptions";#N/A,#N/A,TRUE,"Profit &amp; Loss";#N/A,#N/A,TRUE,"Balance Sheet";#N/A,#N/A,TRUE,"Cashflow";#N/A,#N/A,TRUE,"IRR";#N/A,#N/A,TRUE,"Ratios";#N/A,#N/A,TRUE,"Debt analysis"}</definedName>
    <definedName name="rt">{#N/A,#N/A,TRUE,"Cover sheet";#N/A,#N/A,TRUE,"Summary";#N/A,#N/A,TRUE,"Key Assumptions";#N/A,#N/A,TRUE,"Profit &amp; Loss";#N/A,#N/A,TRUE,"Balance Sheet";#N/A,#N/A,TRUE,"Cashflow";#N/A,#N/A,TRUE,"IRR";#N/A,#N/A,TRUE,"Ratios";#N/A,#N/A,TRUE,"Debt analysis"}</definedName>
    <definedName name="Sal_fin">'[7]Piano ammortamento prestito'!$J$18:$J$497</definedName>
    <definedName name="Sales" localSheetId="14">#REF!</definedName>
    <definedName name="SALES" localSheetId="12">#REF!</definedName>
    <definedName name="SALES">#REF!</definedName>
    <definedName name="Sales2002" localSheetId="12">#REF!</definedName>
    <definedName name="Sales2002">#REF!</definedName>
    <definedName name="Scenario" localSheetId="12">#REF!</definedName>
    <definedName name="Scenario">#REF!</definedName>
    <definedName name="sencount">1</definedName>
    <definedName name="Senior_A" localSheetId="12">'[18]Buy Out Overview'!$B$29</definedName>
    <definedName name="Senior_A">'[19]Buy Out Overview'!$B$29</definedName>
    <definedName name="sens_auton" localSheetId="12">#REF!</definedName>
    <definedName name="sens_auton">#REF!</definedName>
    <definedName name="sens_misto" localSheetId="12">#REF!</definedName>
    <definedName name="sens_misto">#REF!</definedName>
    <definedName name="sens_redd" localSheetId="12">#REF!</definedName>
    <definedName name="sens_redd">#REF!</definedName>
    <definedName name="SF_GBP" localSheetId="12">#REF!</definedName>
    <definedName name="SF_GBP">#REF!</definedName>
    <definedName name="SF_US" localSheetId="12">#REF!</definedName>
    <definedName name="SF_US">#REF!</definedName>
    <definedName name="SharesA" localSheetId="12">#REF!</definedName>
    <definedName name="SharesA">#REF!</definedName>
    <definedName name="SharesB" localSheetId="12">#REF!</definedName>
    <definedName name="SharesB">#REF!</definedName>
    <definedName name="SharesOutstanding" localSheetId="12">#REF!</definedName>
    <definedName name="SharesOutstanding">#REF!</definedName>
    <definedName name="SiNo" localSheetId="18">'[51]drop down menu'!#REF!</definedName>
    <definedName name="SiNo">'drop down menu'!#REF!</definedName>
    <definedName name="solver_lhs7">#REF!</definedName>
    <definedName name="solver_lhs8">#REF!</definedName>
    <definedName name="solver_lin">0</definedName>
    <definedName name="solver_num">0</definedName>
    <definedName name="solver_rel7">2</definedName>
    <definedName name="solver_rel8">3</definedName>
    <definedName name="solver_rhs7">#REF!</definedName>
    <definedName name="solver_rhs8">10</definedName>
    <definedName name="solver_typ">1</definedName>
    <definedName name="solver_val">0</definedName>
    <definedName name="SP" localSheetId="12">#REF!</definedName>
    <definedName name="SP">#REF!</definedName>
    <definedName name="SP_storici" localSheetId="12">#REF!</definedName>
    <definedName name="SP_storici">#REF!</definedName>
    <definedName name="SponsorEquity" localSheetId="12">#REF!</definedName>
    <definedName name="SponsorEquity">#REF!</definedName>
    <definedName name="SponsorOwnership" localSheetId="12">#REF!</definedName>
    <definedName name="SponsorOwnership">#REF!</definedName>
    <definedName name="sss" localSheetId="12" hidden="1">{#N/A,#N/A,FALSE,"P&amp;L"}</definedName>
    <definedName name="sss">{#N/A,#N/A,FALSE,"P&amp;L"}</definedName>
    <definedName name="SSSSS" localSheetId="12" hidden="1">{#N/A,#N/A,TRUE,"Cover sheet";#N/A,#N/A,TRUE,"Summary";#N/A,#N/A,TRUE,"Key Assumptions";#N/A,#N/A,TRUE,"Profit &amp; Loss";#N/A,#N/A,TRUE,"Balance Sheet";#N/A,#N/A,TRUE,"Cashflow";#N/A,#N/A,TRUE,"IRR";#N/A,#N/A,TRUE,"Ratios";#N/A,#N/A,TRUE,"Debt analysis"}</definedName>
    <definedName name="SSSSS">{#N/A,#N/A,TRUE,"Cover sheet";#N/A,#N/A,TRUE,"Summary";#N/A,#N/A,TRUE,"Key Assumptions";#N/A,#N/A,TRUE,"Profit &amp; Loss";#N/A,#N/A,TRUE,"Balance Sheet";#N/A,#N/A,TRUE,"Cashflow";#N/A,#N/A,TRUE,"IRR";#N/A,#N/A,TRUE,"Ratios";#N/A,#N/A,TRUE,"Debt analysis"}</definedName>
    <definedName name="Stampa_compl">'[7]Piano ammortamento prestito'!$B$1:$K$497</definedName>
    <definedName name="START_D" localSheetId="12">#REF!</definedName>
    <definedName name="START_D">#REF!</definedName>
    <definedName name="START_M" localSheetId="12">#REF!</definedName>
    <definedName name="START_M">#REF!</definedName>
    <definedName name="STATP">#REF!</definedName>
    <definedName name="stef" localSheetId="12" hidden="1">{#N/A,#N/A,TRUE,"Cover sheet";#N/A,#N/A,TRUE,"Summary";#N/A,#N/A,TRUE,"Key Assumptions";#N/A,#N/A,TRUE,"Profit &amp; Loss";#N/A,#N/A,TRUE,"Balance Sheet";#N/A,#N/A,TRUE,"Cashflow";#N/A,#N/A,TRUE,"IRR";#N/A,#N/A,TRUE,"Ratios";#N/A,#N/A,TRUE,"Debt analysis"}</definedName>
    <definedName name="stef">{#N/A,#N/A,TRUE,"Cover sheet";#N/A,#N/A,TRUE,"Summary";#N/A,#N/A,TRUE,"Key Assumptions";#N/A,#N/A,TRUE,"Profit &amp; Loss";#N/A,#N/A,TRUE,"Balance Sheet";#N/A,#N/A,TRUE,"Cashflow";#N/A,#N/A,TRUE,"IRR";#N/A,#N/A,TRUE,"Ratios";#N/A,#N/A,TRUE,"Debt analysis"}</definedName>
    <definedName name="SUNTO" localSheetId="12">#REF!</definedName>
    <definedName name="SUNTO">#REF!</definedName>
    <definedName name="sw" localSheetId="12">[37]Macro!#REF!</definedName>
    <definedName name="sw">[38]Macro!#REF!</definedName>
    <definedName name="SwitchShPrice" localSheetId="12">'[12]Control (In)'!#REF!</definedName>
    <definedName name="SwitchShPrice">'[13]Control (In)'!#REF!</definedName>
    <definedName name="Swvu.ce_storici." hidden="1">#REF!</definedName>
    <definedName name="Swvu.dd." hidden="1">#REF!</definedName>
    <definedName name="Swvu_ce_storici_">#REF!</definedName>
    <definedName name="Swvu_dd_">#REF!</definedName>
    <definedName name="SynergiesCY" localSheetId="12">#REF!</definedName>
    <definedName name="SynergiesCY">#REF!</definedName>
    <definedName name="SynergiesNY" localSheetId="12">#REF!</definedName>
    <definedName name="SynergiesNY">#REF!</definedName>
    <definedName name="szzz" localSheetId="12" hidden="1">{#N/A,#N/A,FALSE,"P&amp;L"}</definedName>
    <definedName name="szzz">{#N/A,#N/A,FALSE,"P&amp;L"}</definedName>
    <definedName name="szzzs" localSheetId="12" hidden="1">{#N/A,#N/A,FALSE,"P&amp;L"}</definedName>
    <definedName name="szzzs">{#N/A,#N/A,FALSE,"P&amp;L"}</definedName>
    <definedName name="t" localSheetId="18">#REF!</definedName>
    <definedName name="t" localSheetId="12" hidden="1">{#N/A,#N/A,TRUE,"Cover sheet";#N/A,#N/A,TRUE,"Summary";#N/A,#N/A,TRUE,"Key Assumptions";#N/A,#N/A,TRUE,"Profit &amp; Loss";#N/A,#N/A,TRUE,"Balance Sheet";#N/A,#N/A,TRUE,"Cashflow";#N/A,#N/A,TRUE,"IRR";#N/A,#N/A,TRUE,"Ratios";#N/A,#N/A,TRUE,"Debt analysis"}</definedName>
    <definedName name="t" localSheetId="13">{#N/A,#N/A,TRUE,"Cover sheet";#N/A,#N/A,TRUE,"Summary";#N/A,#N/A,TRUE,"Key Assumptions";#N/A,#N/A,TRUE,"Profit &amp; Loss";#N/A,#N/A,TRUE,"Balance Sheet";#N/A,#N/A,TRUE,"Cashflow";#N/A,#N/A,TRUE,"IRR";#N/A,#N/A,TRUE,"Ratios";#N/A,#N/A,TRUE,"Debt analysis"}</definedName>
    <definedName name="t">#REF!</definedName>
    <definedName name="Target" localSheetId="12">#REF!</definedName>
    <definedName name="Target">#REF!</definedName>
    <definedName name="Tasso_interesse">'[7]Piano ammortamento prestito'!$E$6</definedName>
    <definedName name="Tax" localSheetId="12">#REF!</definedName>
    <definedName name="Tax">#REF!</definedName>
    <definedName name="tax_rate" localSheetId="12">[14]Inputs!$80:$80</definedName>
    <definedName name="tax_rate">[15]Inputs!$80:$80</definedName>
    <definedName name="TaxAmortization" localSheetId="12">#REF!</definedName>
    <definedName name="TaxAmortization">#REF!</definedName>
    <definedName name="TEECY" localSheetId="12">#REF!</definedName>
    <definedName name="TEECY">#REF!</definedName>
    <definedName name="TEENY" localSheetId="12">#REF!</definedName>
    <definedName name="TEENY">#REF!</definedName>
    <definedName name="TI" localSheetId="12">'[52]Sources &amp; Uses'!$Z$12</definedName>
    <definedName name="TI">'[53]Sources &amp; Uses'!$Z$12</definedName>
    <definedName name="TInterestRate" localSheetId="12">#REF!</definedName>
    <definedName name="TInterestRate">#REF!</definedName>
    <definedName name="title" localSheetId="12">[39]Info!$C$3</definedName>
    <definedName name="title">[40]Info!$C$3</definedName>
    <definedName name="Title_Day" localSheetId="12">#REF!</definedName>
    <definedName name="Title_Day">#REF!</definedName>
    <definedName name="Title_Month" localSheetId="12">#REF!</definedName>
    <definedName name="Title_Month">#REF!</definedName>
    <definedName name="TITLE_P" localSheetId="12">#REF!</definedName>
    <definedName name="TITLE_P">#REF!</definedName>
    <definedName name="Title_Today" localSheetId="12">#REF!</definedName>
    <definedName name="Title_Today">#REF!</definedName>
    <definedName name="TITOLI" localSheetId="12">#REF!</definedName>
    <definedName name="TITOLI">#REF!</definedName>
    <definedName name="TM" localSheetId="12">#REF!</definedName>
    <definedName name="TM">#REF!</definedName>
    <definedName name="TMC" localSheetId="12">#REF!</definedName>
    <definedName name="TMC">#REF!</definedName>
    <definedName name="TMVE" localSheetId="12">#REF!</definedName>
    <definedName name="TMVE">#REF!</definedName>
    <definedName name="TNetDebt" localSheetId="12">#REF!</definedName>
    <definedName name="TNetDebt">#REF!</definedName>
    <definedName name="TNICY" localSheetId="12">#REF!</definedName>
    <definedName name="TNICY">#REF!</definedName>
    <definedName name="TNINY" localSheetId="12">#REF!</definedName>
    <definedName name="TNINY">#REF!</definedName>
    <definedName name="TPI" localSheetId="12">#REF!</definedName>
    <definedName name="TPI">#REF!</definedName>
    <definedName name="TPrice" localSheetId="12">#REF!</definedName>
    <definedName name="TPrice">#REF!</definedName>
    <definedName name="TransactionAmortization" localSheetId="12">#REF!</definedName>
    <definedName name="TransactionAmortization">#REF!</definedName>
    <definedName name="TransactionDate" localSheetId="12">#REF!</definedName>
    <definedName name="TransactionDate">#REF!</definedName>
    <definedName name="TransactionGoodwill" localSheetId="12">#REF!</definedName>
    <definedName name="TransactionGoodwill">#REF!</definedName>
    <definedName name="TShares" localSheetId="12">#REF!</definedName>
    <definedName name="TShares">#REF!</definedName>
    <definedName name="TSHE" localSheetId="12">#REF!</definedName>
    <definedName name="TSHE">#REF!</definedName>
    <definedName name="tv" localSheetId="12">#REF!</definedName>
    <definedName name="tv">#REF!</definedName>
    <definedName name="ty" localSheetId="12" hidden="1">{#N/A,#N/A,TRUE,"Cover sheet";#N/A,#N/A,TRUE,"Summary";#N/A,#N/A,TRUE,"Key Assumptions";#N/A,#N/A,TRUE,"Profit &amp; Loss";#N/A,#N/A,TRUE,"Balance Sheet";#N/A,#N/A,TRUE,"Cashflow";#N/A,#N/A,TRUE,"IRR";#N/A,#N/A,TRUE,"Ratios";#N/A,#N/A,TRUE,"Debt analysis"}</definedName>
    <definedName name="ty">{#N/A,#N/A,TRUE,"Cover sheet";#N/A,#N/A,TRUE,"Summary";#N/A,#N/A,TRUE,"Key Assumptions";#N/A,#N/A,TRUE,"Profit &amp; Loss";#N/A,#N/A,TRUE,"Balance Sheet";#N/A,#N/A,TRUE,"Cashflow";#N/A,#N/A,TRUE,"IRR";#N/A,#N/A,TRUE,"Ratios";#N/A,#N/A,TRUE,"Debt analysis"}</definedName>
    <definedName name="u" localSheetId="12" hidden="1">{#N/A,#N/A,TRUE,"Cover sheet";#N/A,#N/A,TRUE,"Summary";#N/A,#N/A,TRUE,"Key Assumptions";#N/A,#N/A,TRUE,"Profit &amp; Loss";#N/A,#N/A,TRUE,"Balance Sheet";#N/A,#N/A,TRUE,"Cashflow";#N/A,#N/A,TRUE,"IRR";#N/A,#N/A,TRUE,"Ratios";#N/A,#N/A,TRUE,"Debt analysis"}</definedName>
    <definedName name="u">{#N/A,#N/A,TRUE,"Cover sheet";#N/A,#N/A,TRUE,"Summary";#N/A,#N/A,TRUE,"Key Assumptions";#N/A,#N/A,TRUE,"Profit &amp; Loss";#N/A,#N/A,TRUE,"Balance Sheet";#N/A,#N/A,TRUE,"Cashflow";#N/A,#N/A,TRUE,"IRR";#N/A,#N/A,TRUE,"Ratios";#N/A,#N/A,TRUE,"Debt analysis"}</definedName>
    <definedName name="UK_US" localSheetId="12">#REF!</definedName>
    <definedName name="UK_US">#REF!</definedName>
    <definedName name="Ultima_riga">IF(Valori_immessi,Riga_intestazione+Numero_di_pagamenti,Riga_intestazione)</definedName>
    <definedName name="UNPROTWORKS" localSheetId="12">#REF!</definedName>
    <definedName name="UNPROTWORKS">#REF!</definedName>
    <definedName name="UQ_EB" localSheetId="12">[33]Sheet1!$D$64</definedName>
    <definedName name="UQ_EB">[34]Sheet1!$D$64</definedName>
    <definedName name="USD">1.1743</definedName>
    <definedName name="USOSubsidy" localSheetId="12">[54]ELTA!#REF!</definedName>
    <definedName name="USOSubsidy">[55]ELTA!#REF!</definedName>
    <definedName name="utile">#REF!</definedName>
    <definedName name="uu" localSheetId="12" hidden="1">{#N/A,#N/A,TRUE,"Cover sheet";#N/A,#N/A,TRUE,"Summary";#N/A,#N/A,TRUE,"Key Assumptions";#N/A,#N/A,TRUE,"Profit &amp; Loss";#N/A,#N/A,TRUE,"Balance Sheet";#N/A,#N/A,TRUE,"Cashflow";#N/A,#N/A,TRUE,"IRR";#N/A,#N/A,TRUE,"Ratios";#N/A,#N/A,TRUE,"Debt analysis"}</definedName>
    <definedName name="uu">{#N/A,#N/A,TRUE,"Cover sheet";#N/A,#N/A,TRUE,"Summary";#N/A,#N/A,TRUE,"Key Assumptions";#N/A,#N/A,TRUE,"Profit &amp; Loss";#N/A,#N/A,TRUE,"Balance Sheet";#N/A,#N/A,TRUE,"Cashflow";#N/A,#N/A,TRUE,"IRR";#N/A,#N/A,TRUE,"Ratios";#N/A,#N/A,TRUE,"Debt analysis"}</definedName>
    <definedName name="Valori_immessi">IF(Importo_prestito*Tasso_interesse*Anni_prestito*Inizio_prestito&gt;0,1,0)</definedName>
    <definedName name="valutazglob" localSheetId="12">#REF!</definedName>
    <definedName name="valutazglob">#REF!</definedName>
    <definedName name="VARIABILI_DI_INPUT" localSheetId="12">#REF!</definedName>
    <definedName name="VARIABILI_DI_INPUT">#REF!</definedName>
    <definedName name="Vendor_loan" localSheetId="12">'[18]Buy Out Overview'!$B$37</definedName>
    <definedName name="Vendor_loan">'[19]Buy Out Overview'!$B$37</definedName>
    <definedName name="VNU" localSheetId="12">#REF!</definedName>
    <definedName name="VNU">#REF!</definedName>
    <definedName name="VOCI" localSheetId="12">#REF!</definedName>
    <definedName name="VOCI">#REF!</definedName>
    <definedName name="VOCISENZA" localSheetId="12">#REF!</definedName>
    <definedName name="VOCISENZA">#REF!</definedName>
    <definedName name="vv" localSheetId="12" hidden="1">{#N/A,#N/A,TRUE,"Cover sheet";#N/A,#N/A,TRUE,"Summary";#N/A,#N/A,TRUE,"Key Assumptions";#N/A,#N/A,TRUE,"Profit &amp; Loss";#N/A,#N/A,TRUE,"Balance Sheet";#N/A,#N/A,TRUE,"Cashflow";#N/A,#N/A,TRUE,"IRR";#N/A,#N/A,TRUE,"Ratios";#N/A,#N/A,TRUE,"Debt analysis"}</definedName>
    <definedName name="vv">{#N/A,#N/A,TRUE,"Cover sheet";#N/A,#N/A,TRUE,"Summary";#N/A,#N/A,TRUE,"Key Assumptions";#N/A,#N/A,TRUE,"Profit &amp; Loss";#N/A,#N/A,TRUE,"Balance Sheet";#N/A,#N/A,TRUE,"Cashflow";#N/A,#N/A,TRUE,"IRR";#N/A,#N/A,TRUE,"Ratios";#N/A,#N/A,TRUE,"Debt analysis"}</definedName>
    <definedName name="wacc" localSheetId="12">#REF!</definedName>
    <definedName name="wacc">#REF!</definedName>
    <definedName name="WC_facility" localSheetId="12">'[18]Buy Out Overview'!$B$28</definedName>
    <definedName name="WC_facility">'[19]Buy Out Overview'!$B$28</definedName>
    <definedName name="WhitePagesFee" localSheetId="12">#REF!</definedName>
    <definedName name="WhitePagesFee">#REF!</definedName>
    <definedName name="WorkingTable1" localSheetId="12">[12]Workings!$B$10:$AE$51</definedName>
    <definedName name="WorkingTable1">[13]Workings!$B$10:$AE$51</definedName>
    <definedName name="WorkingTable2" localSheetId="12">[12]Workings!$B$60:$AE$101</definedName>
    <definedName name="WorkingTable2">[13]Workings!$B$60:$AE$101</definedName>
    <definedName name="WPloss" localSheetId="12">#REF!</definedName>
    <definedName name="WPloss">#REF!</definedName>
    <definedName name="WPloss1" localSheetId="12">#REF!</definedName>
    <definedName name="WPloss1">#REF!</definedName>
    <definedName name="WPloss2" localSheetId="12">#REF!</definedName>
    <definedName name="WPloss2">#REF!</definedName>
    <definedName name="WPloss3" localSheetId="12">#REF!</definedName>
    <definedName name="WPloss3">#REF!</definedName>
    <definedName name="WPloss4" localSheetId="12">#REF!</definedName>
    <definedName name="WPloss4">#REF!</definedName>
    <definedName name="WPloss5" localSheetId="12">#REF!</definedName>
    <definedName name="WPloss5">#REF!</definedName>
    <definedName name="WPloss6" localSheetId="12">#REF!</definedName>
    <definedName name="WPloss6">#REF!</definedName>
    <definedName name="WPloss7" localSheetId="12">#REF!</definedName>
    <definedName name="WPloss7">#REF!</definedName>
    <definedName name="wrn.Aito._.Comp" hidden="1">{#N/A,#N/A,FALSE,"Sheet1"}</definedName>
    <definedName name="wrn.Auto._.Comp." hidden="1">{#N/A,#N/A,FALSE,"Sheet1"}</definedName>
    <definedName name="wrn.Auto._.Comps" hidden="1">{#N/A,#N/A,FALSE,"Sheet1"}</definedName>
    <definedName name="wrn.autos._scomp." hidden="1">{#N/A,#N/A,FALSE,"Sheet1"}</definedName>
    <definedName name="wrn.corso_forecast." hidden="1">{"ce_storici",#N/A,FALSE}</definedName>
    <definedName name="wrn.DCF._.III._.Report." hidden="1">{#N/A,#N/A,FALSE,"Cover";#N/A,#N/A,FALSE,"Pres ";#N/A,#N/A,FALSE,"Outputs";#N/A,#N/A,FALSE,"DCF ";#N/A,#N/A,FALSE,"CFS";#N/A,#N/A,FALSE,"BS";#N/A,#N/A,FALSE,"PL";#N/A,#N/A,FALSE,"Control (In)";#N/A,#N/A,FALSE,"Broker (In)";#N/A,#N/A,FALSE,"In-House (In)";#N/A,#N/A,FALSE,"WACC";#N/A,#N/A,FALSE,"Ass";#N/A,#N/A,FALSE,"Check"}</definedName>
    <definedName name="wrn.frully." hidden="1">{#N/A,#N/A,FALSE,"P&amp;L"}</definedName>
    <definedName name="wrn.frully._.smodel." hidden="1">{#N/A,#N/A,TRUE,"Cover sheet";#N/A,#N/A,TRUE,"DCF analysis";#N/A,#N/A,TRUE,"WACC calculation"}</definedName>
    <definedName name="wrn.full." hidden="1">{#N/A,#N/A,FALSE,"P&amp;L"}</definedName>
    <definedName name="wrn.Full._.Model." hidden="1">{#N/A,#N/A,TRUE,"Cover sheet";#N/A,#N/A,TRUE,"DCF analysis";#N/A,#N/A,TRUE,"WACC calculation"}</definedName>
    <definedName name="wrn.fully." hidden="1">{#N/A,#N/A,FALSE,"P&amp;L"}</definedName>
    <definedName name="wrn.fully._.Model" hidden="1">{#N/A,#N/A,TRUE,"Cover sheet";#N/A,#N/A,TRUE,"DCF analysis";#N/A,#N/A,TRUE,"WACC calculation"}</definedName>
    <definedName name="wrn.Print." hidden="1">{#N/A,#N/A,FALSE,"Trading-Mult ";#N/A,#N/A,FALSE,"M&amp;A info"}</definedName>
    <definedName name="wrn.printo." hidden="1">{#N/A,#N/A,FALSE,"Trading-Mult ";#N/A,#N/A,FALSE,"M&amp;A info"}</definedName>
    <definedName name="wrn.sfull." hidden="1">{#N/A,#N/A,FALSE,"P&amp;L"}</definedName>
    <definedName name="wrn.sfull._._model" hidden="1">{#N/A,#N/A,TRUE,"Cover sheet";#N/A,#N/A,TRUE,"DCF analysis";#N/A,#N/A,TRUE,"WACC calculation"}</definedName>
    <definedName name="wrn.spinto." hidden="1">{#N/A,#N/A,FALSE,"Trading-Mult ";#N/A,#N/A,FALSE,"M&amp;A info"}</definedName>
    <definedName name="wrn.sprint." hidden="1">{#N/A,#N/A,FALSE,"Trading-Mult ";#N/A,#N/A,FALSE,"M&amp;A info"}</definedName>
    <definedName name="wrn.Stampa_fascicolo." hidden="1">{#N/A,#N/A,TRUE,"Hypothesis";#N/A,#N/A,TRUE,"Traffic";#N/A,#N/A,TRUE,"Var costs";#N/A,#N/A,TRUE,"Loan";#N/A,#N/A,TRUE,"Variab maint";#N/A,#N/A,TRUE,"Line - P&amp;L";#N/A,#N/A,TRUE,"NewCo - P&amp;L";#N/A,#N/A,TRUE,"Consol. - P&amp;L";#N/A,#N/A,TRUE,"Routes' margin"}</definedName>
    <definedName name="wrn.Summary." hidden="1">{#N/A,#N/A,FALSE,"Cover";#N/A,#N/A,FALSE,"Outputs";#N/A,#N/A,FALSE,"Control (In)";"tesco summary",#N/A,FALSE,"Tesco";"Outputs and Co Summaries",#N/A,FALSE,"Sainsbury";"Outputs and Co Summaries",#N/A,FALSE,"Carrefour";"Outputs and Co Summaries",#N/A,FALSE,"Co D";"Outputs and Co Summaries",#N/A,FALSE,"Co E"}</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_Aito___Comp">{#N/A,#N/A,FALSE,"Sheet1"}</definedName>
    <definedName name="wrn_Auto___Comp_">{#N/A,#N/A,FALSE,"Sheet1"}</definedName>
    <definedName name="wrn_Auto___Comps">{#N/A,#N/A,FALSE,"Sheet1"}</definedName>
    <definedName name="wrn_autos__scomp_">{#N/A,#N/A,FALSE,"Sheet1"}</definedName>
    <definedName name="wrn_corso_forecast_">{"ce_storici",#N/A,FALSE}</definedName>
    <definedName name="wrn_DCF___III___Report_">{#N/A,#N/A,FALSE,"Cover";#N/A,#N/A,FALSE,"Pres ";#N/A,#N/A,FALSE,"Outputs";#N/A,#N/A,FALSE,"DCF ";#N/A,#N/A,FALSE,"CFS";#N/A,#N/A,FALSE,"BS";#N/A,#N/A,FALSE,"PL";#N/A,#N/A,FALSE,"Control (In)";#N/A,#N/A,FALSE,"Broker (In)";#N/A,#N/A,FALSE,"In-House (In)";#N/A,#N/A,FALSE,"WACC";#N/A,#N/A,FALSE,"Ass";#N/A,#N/A,FALSE,"Check"}</definedName>
    <definedName name="wrn_frully_">{#N/A,#N/A,FALSE,"P&amp;L"}</definedName>
    <definedName name="wrn_frully___smodel_">{#N/A,#N/A,TRUE,"Cover sheet";#N/A,#N/A,TRUE,"DCF analysis";#N/A,#N/A,TRUE,"WACC calculation"}</definedName>
    <definedName name="wrn_full_">{#N/A,#N/A,FALSE,"P&amp;L"}</definedName>
    <definedName name="wrn_Full___Model_">{#N/A,#N/A,TRUE,"Cover sheet";#N/A,#N/A,TRUE,"DCF analysis";#N/A,#N/A,TRUE,"WACC calculation"}</definedName>
    <definedName name="wrn_fully_">{#N/A,#N/A,FALSE,"P&amp;L"}</definedName>
    <definedName name="wrn_fully___Model">{#N/A,#N/A,TRUE,"Cover sheet";#N/A,#N/A,TRUE,"DCF analysis";#N/A,#N/A,TRUE,"WACC calculation"}</definedName>
    <definedName name="wrn_Print_">{#N/A,#N/A,FALSE,"Trading-Mult ";#N/A,#N/A,FALSE,"M&amp;A info"}</definedName>
    <definedName name="wrn_printo_">{#N/A,#N/A,FALSE,"Trading-Mult ";#N/A,#N/A,FALSE,"M&amp;A info"}</definedName>
    <definedName name="wrn_sfull_">{#N/A,#N/A,FALSE,"P&amp;L"}</definedName>
    <definedName name="wrn_sfull____model">{#N/A,#N/A,TRUE,"Cover sheet";#N/A,#N/A,TRUE,"DCF analysis";#N/A,#N/A,TRUE,"WACC calculation"}</definedName>
    <definedName name="wrn_spinto_">{#N/A,#N/A,FALSE,"Trading-Mult ";#N/A,#N/A,FALSE,"M&amp;A info"}</definedName>
    <definedName name="wrn_sprint_">{#N/A,#N/A,FALSE,"Trading-Mult ";#N/A,#N/A,FALSE,"M&amp;A info"}</definedName>
    <definedName name="wrn_Stampa_fascicolo_">{#N/A,#N/A,TRUE,"Hypothesis";#N/A,#N/A,TRUE,"Traffic";#N/A,#N/A,TRUE,"Var costs";#N/A,#N/A,TRUE,"Loan";#N/A,#N/A,TRUE,"Variab maint";#N/A,#N/A,TRUE,"Line - P&amp;L";#N/A,#N/A,TRUE,"NewCo - P&amp;L";#N/A,#N/A,TRUE,"Consol. - P&amp;L";#N/A,#N/A,TRUE,"Routes' margin"}</definedName>
    <definedName name="wrn_Summary_">{#N/A,#N/A,FALSE,"Cover";#N/A,#N/A,FALSE,"Outputs";#N/A,#N/A,FALSE,"Control (In)";"tesco summary",#N/A,FALSE,"Tesco";"Outputs and Co Summaries",#N/A,FALSE,"Sainsbury";"Outputs and Co Summaries",#N/A,FALSE,"Carrefour";"Outputs and Co Summaries",#N/A,FALSE,"Co D";"Outputs and Co Summaries",#N/A,FALSE,"Co E"}</definedName>
    <definedName name="wrn_Summary___with___short___outputs_">{#N/A,#N/A,FALSE,"Cover";"Short outputs",#N/A,FALSE,"Outputs";#N/A,#N/A,FALSE,"Control (In)";"tesco summary",#N/A,FALSE,"Tesco";"Outputs and Co summaries",#N/A,FALSE,"Sainsbury";"Outputs and Co Summaries",#N/A,FALSE,"Carrefour";"Outputs and Co summaries",#N/A,FALSE,"Co D";"Outputs and Co summaries",#N/A,FALSE,"Co E"}</definedName>
    <definedName name="wvu.ce_storici." hidden="1">{TRUE,TRUE,-1.25,-15.5,484.5,301.5,FALSE,FALSE,TRUE,TRUE,0,1,#N/A,13,#N/A,7.06382978723404,20.2352941176471,1,FALSE,FALSE,3,TRUE,1,FALSE,100,"Swvu.ce_storici.","ACwvu.ce_storici.",1,FALSE,FALSE,0.36,0.44,0.984251968503937,0.984251968503937,2,"&amp;C&amp;B&amp;UBangers Distribution Italia S.p.A.","",TRUE,TRUE,FALSE,FALSE,1,110,#N/A,#N/A,"=R12C1:R242C6,R12C8,R12C8,R12C8:R75C20,R12C22:R242C30",FALSE,#N/A,#N/A,FALSE,FALSE}</definedName>
    <definedName name="wvu.dd." hidden="1">{TRUE,TRUE,-1.25,-15.5,484.5,301.5,FALSE,FALSE,TRUE,TRUE,0,1,#N/A,9,#N/A,7.578125,17.4117647058824,1,FALSE,FALSE,3,TRUE,1,FALSE,100,"Swvu.dd.","ACwvu.dd.",1,FALSE,FALSE,0.748031496062992,0.354330708661417,1.73228346456693,0.275590551181102,1,"&amp;L&amp;10PASFIN - Servizi Finanziari S.p.A._x000D_&amp;I Mergers  and Acquisitions&amp;R&amp;10Data di stampa: &amp;D_x000D_ Ore:      &amp;T","&amp;R&amp;""Times New Roman""Pagina &amp;P",FALSE,FALSE,FALSE,FALSE,1,100,#N/A,#N/A,"=R59C1:R283C7",FALSE,#N/A,#N/A,FALSE,FALSE}</definedName>
    <definedName name="wvu_ce_storici_">{TRUE,TRUE,-1.25,-15.5,484.5,301.5,FALSE,FALSE,TRUE,TRUE,0,1,#N/A,13,#N/A,7.06382978723404,20.2352941176471,1,FALSE,FALSE,3,TRUE,1,FALSE,100,"Swvu.ce_storici.","ACwvu.ce_storici.",1,FALSE,FALSE,0.36,0.44,0.984251968503937,0.984251968503937,2,"&amp;C&amp;B&amp;UBangers Distribution Italia S.p.A.",0,TRUE,TRUE,FALSE,FALSE,1,110,#N/A,#N/A,"=R12C1:R242C6,R12C8,R12C8,R12C8:R75C20,R12C22:R242C30",FALSE,#N/A,#N/A,FALSE,FALSE}</definedName>
    <definedName name="wvu_dd_">{TRUE,TRUE,-1.25,-15.5,484.5,301.5,FALSE,FALSE,TRUE,TRUE,0,1,#N/A,9,#N/A,7.578125,17.4117647058824,1,FALSE,FALSE,3,TRUE,1,FALSE,100,"Swvu.dd.","ACwvu.dd.",1,FALSE,FALSE,0.748031496062992,0.354330708661417,1.73228346456693,0.275590551181102,1,"&amp;L&amp;10PASFIN - Servizi Finanziari S.p.A._x000D_&amp;I Mergers  and Acquisitions&amp;R&amp;10Data di stampa: &amp;D_x000D_ Ore:      &amp;T","&amp;R&amp;""Times New Roman""Pagina &amp;P",FALSE,FALSE,FALSE,FALSE,1,100,#N/A,#N/A,"=R59C1:R283C7",FALSE,#N/A,#N/A,FALSE,FALSE}</definedName>
    <definedName name="ww" localSheetId="12" hidden="1">{#N/A,#N/A,TRUE,"Cover sheet";#N/A,#N/A,TRUE,"Summary";#N/A,#N/A,TRUE,"Key Assumptions";#N/A,#N/A,TRUE,"Profit &amp; Loss";#N/A,#N/A,TRUE,"Balance Sheet";#N/A,#N/A,TRUE,"Cashflow";#N/A,#N/A,TRUE,"IRR";#N/A,#N/A,TRUE,"Ratios";#N/A,#N/A,TRUE,"Debt analysis"}</definedName>
    <definedName name="ww">{#N/A,#N/A,TRUE,"Cover sheet";#N/A,#N/A,TRUE,"Summary";#N/A,#N/A,TRUE,"Key Assumptions";#N/A,#N/A,TRUE,"Profit &amp; Loss";#N/A,#N/A,TRUE,"Balance Sheet";#N/A,#N/A,TRUE,"Cashflow";#N/A,#N/A,TRUE,"IRR";#N/A,#N/A,TRUE,"Ratios";#N/A,#N/A,TRUE,"Debt analysis"}</definedName>
    <definedName name="y" localSheetId="12" hidden="1">{#N/A,#N/A,TRUE,"Cover sheet";#N/A,#N/A,TRUE,"Summary";#N/A,#N/A,TRUE,"Key Assumptions";#N/A,#N/A,TRUE,"Profit &amp; Loss";#N/A,#N/A,TRUE,"Balance Sheet";#N/A,#N/A,TRUE,"Cashflow";#N/A,#N/A,TRUE,"IRR";#N/A,#N/A,TRUE,"Ratios";#N/A,#N/A,TRUE,"Debt analysis"}</definedName>
    <definedName name="y">{#N/A,#N/A,TRUE,"Cover sheet";#N/A,#N/A,TRUE,"Summary";#N/A,#N/A,TRUE,"Key Assumptions";#N/A,#N/A,TRUE,"Profit &amp; Loss";#N/A,#N/A,TRUE,"Balance Sheet";#N/A,#N/A,TRUE,"Cashflow";#N/A,#N/A,TRUE,"IRR";#N/A,#N/A,TRUE,"Ratios";#N/A,#N/A,TRUE,"Debt analysis"}</definedName>
    <definedName name="Year" localSheetId="14">#REF!</definedName>
    <definedName name="Year_0" localSheetId="12">#REF!</definedName>
    <definedName name="Year_0">#REF!</definedName>
    <definedName name="Year_end" localSheetId="12">#REF!</definedName>
    <definedName name="Year_end">#REF!</definedName>
    <definedName name="YEFirst" localSheetId="12">'[12]Control (In)'!$G$12</definedName>
    <definedName name="YEFirst">'[13]Control (In)'!$G$12</definedName>
    <definedName name="YesNo" localSheetId="18">'[51]drop down menu'!$B$3:$B$4</definedName>
    <definedName name="YesNo">'drop down menu'!$B$3:$B$4</definedName>
    <definedName name="yy" localSheetId="12" hidden="1">{#N/A,#N/A,TRUE,"Cover sheet";#N/A,#N/A,TRUE,"Summary";#N/A,#N/A,TRUE,"Key Assumptions";#N/A,#N/A,TRUE,"Profit &amp; Loss";#N/A,#N/A,TRUE,"Balance Sheet";#N/A,#N/A,TRUE,"Cashflow";#N/A,#N/A,TRUE,"IRR";#N/A,#N/A,TRUE,"Ratios";#N/A,#N/A,TRUE,"Debt analysis"}</definedName>
    <definedName name="yy">{#N/A,#N/A,TRUE,"Cover sheet";#N/A,#N/A,TRUE,"Summary";#N/A,#N/A,TRUE,"Key Assumptions";#N/A,#N/A,TRUE,"Profit &amp; Loss";#N/A,#N/A,TRUE,"Balance Sheet";#N/A,#N/A,TRUE,"Cashflow";#N/A,#N/A,TRUE,"IRR";#N/A,#N/A,TRUE,"Ratios";#N/A,#N/A,TRUE,"Debt analysis"}</definedName>
    <definedName name="Zirkulär" localSheetId="12">#REF!</definedName>
    <definedName name="Zirkulär">#REF!</definedName>
    <definedName name="zzz" localSheetId="12" hidden="1">{#N/A,#N/A,FALSE,"P&amp;L"}</definedName>
    <definedName name="zzz">{#N/A,#N/A,FALSE,"P&amp;L"}</definedName>
  </definedNames>
  <calcPr calcId="179021"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14" i="33" l="1"/>
  <c r="B17" i="33"/>
  <c r="B18" i="33"/>
  <c r="B19" i="33"/>
  <c r="B15" i="33"/>
  <c r="B16" i="33"/>
  <c r="D48" i="20"/>
  <c r="C15" i="33"/>
  <c r="D15" i="33"/>
  <c r="E15" i="33"/>
  <c r="C16" i="33"/>
  <c r="B6" i="33"/>
  <c r="G48" i="20"/>
  <c r="F48" i="20"/>
  <c r="E48" i="20"/>
  <c r="D16" i="33"/>
  <c r="E16" i="33"/>
  <c r="D62" i="15"/>
  <c r="C17" i="33"/>
  <c r="E62" i="15"/>
  <c r="D17" i="33"/>
  <c r="E17" i="33"/>
  <c r="C18" i="33"/>
  <c r="F62" i="15"/>
  <c r="D18" i="33"/>
  <c r="E18" i="33"/>
  <c r="C19" i="33"/>
  <c r="C20" i="33"/>
  <c r="G62" i="15"/>
  <c r="D19" i="33"/>
  <c r="B20" i="33"/>
  <c r="D20" i="33"/>
  <c r="E19" i="33"/>
  <c r="B19" i="43"/>
  <c r="B11" i="43"/>
  <c r="B21" i="43"/>
  <c r="B19" i="61"/>
  <c r="B4" i="43"/>
  <c r="B9" i="44"/>
  <c r="C8" i="20"/>
  <c r="C21" i="20"/>
  <c r="C23" i="20"/>
  <c r="C14" i="20"/>
  <c r="C25" i="20"/>
  <c r="C31" i="20"/>
  <c r="B10" i="43"/>
  <c r="B41" i="43"/>
  <c r="B20" i="43"/>
  <c r="C8" i="44"/>
  <c r="B224" i="86"/>
  <c r="B193" i="86"/>
  <c r="B213" i="86"/>
  <c r="B157" i="86"/>
  <c r="B178" i="86"/>
  <c r="B13" i="84"/>
  <c r="G8" i="20"/>
  <c r="G21" i="20"/>
  <c r="G23" i="20"/>
  <c r="G14" i="20"/>
  <c r="G25" i="20"/>
  <c r="G31" i="20"/>
  <c r="B176" i="86"/>
  <c r="B131" i="86"/>
  <c r="B141" i="86"/>
  <c r="B103" i="86"/>
  <c r="G7" i="15"/>
  <c r="G11" i="15"/>
  <c r="B130" i="86"/>
  <c r="B135" i="86"/>
  <c r="B139" i="86"/>
  <c r="B84" i="86"/>
  <c r="B83" i="86"/>
  <c r="B86" i="86"/>
  <c r="B136" i="86"/>
  <c r="B137" i="86"/>
  <c r="B124" i="86"/>
  <c r="B77" i="86"/>
  <c r="B122" i="86"/>
  <c r="B56" i="86"/>
  <c r="B75" i="86"/>
  <c r="B40" i="86"/>
  <c r="B41" i="86"/>
  <c r="B36" i="40"/>
  <c r="B28" i="31"/>
  <c r="B29" i="31"/>
  <c r="B30" i="31"/>
  <c r="B31" i="31"/>
  <c r="B27" i="84"/>
  <c r="B28" i="84"/>
  <c r="B29" i="84"/>
  <c r="B7" i="67"/>
  <c r="B8" i="67"/>
  <c r="B9" i="67"/>
  <c r="B11" i="67"/>
  <c r="B32" i="67"/>
  <c r="B24" i="34"/>
  <c r="B11" i="69"/>
  <c r="B23" i="34"/>
  <c r="B15" i="34"/>
  <c r="B14" i="34"/>
  <c r="B17" i="34"/>
  <c r="B16" i="34"/>
  <c r="B132" i="86"/>
  <c r="B43" i="86"/>
  <c r="B45" i="86"/>
  <c r="B48" i="86"/>
  <c r="B46" i="86"/>
  <c r="B44" i="86"/>
  <c r="B11" i="84"/>
  <c r="B79" i="84"/>
  <c r="B21" i="84"/>
  <c r="B51" i="84"/>
  <c r="C51" i="84"/>
  <c r="D51" i="84"/>
  <c r="A52" i="84"/>
  <c r="B26" i="84"/>
  <c r="B52" i="84"/>
  <c r="E52" i="84"/>
  <c r="A27" i="84"/>
  <c r="A53" i="84"/>
  <c r="B53" i="84"/>
  <c r="E53" i="84"/>
  <c r="A28" i="84"/>
  <c r="A54" i="84"/>
  <c r="B54" i="84"/>
  <c r="E54" i="84"/>
  <c r="A29" i="84"/>
  <c r="A55" i="84"/>
  <c r="B55" i="84"/>
  <c r="E55" i="84"/>
  <c r="A30" i="84"/>
  <c r="A56" i="84"/>
  <c r="B56" i="84"/>
  <c r="E56" i="84"/>
  <c r="A31" i="84"/>
  <c r="A57" i="84"/>
  <c r="E57" i="84"/>
  <c r="A32" i="84"/>
  <c r="A58" i="84"/>
  <c r="E58" i="84"/>
  <c r="A33" i="84"/>
  <c r="A59" i="84"/>
  <c r="E59" i="84"/>
  <c r="A34" i="84"/>
  <c r="A60" i="84"/>
  <c r="E60" i="84"/>
  <c r="A35" i="84"/>
  <c r="A61" i="84"/>
  <c r="E61" i="84"/>
  <c r="A36" i="84"/>
  <c r="A62" i="84"/>
  <c r="E62" i="84"/>
  <c r="A37" i="84"/>
  <c r="A63" i="84"/>
  <c r="E63" i="84"/>
  <c r="A38" i="84"/>
  <c r="A64" i="84"/>
  <c r="E64" i="84"/>
  <c r="A39" i="84"/>
  <c r="A65" i="84"/>
  <c r="E65" i="84"/>
  <c r="A40" i="84"/>
  <c r="A66" i="84"/>
  <c r="E66" i="84"/>
  <c r="A41" i="84"/>
  <c r="A67" i="84"/>
  <c r="E67" i="84"/>
  <c r="A42" i="84"/>
  <c r="A68" i="84"/>
  <c r="E68" i="84"/>
  <c r="A43" i="84"/>
  <c r="A69" i="84"/>
  <c r="E69" i="84"/>
  <c r="A44" i="84"/>
  <c r="A70" i="84"/>
  <c r="E70" i="84"/>
  <c r="A45" i="84"/>
  <c r="A71" i="84"/>
  <c r="E71" i="84"/>
  <c r="E72" i="84"/>
  <c r="D75" i="84"/>
  <c r="F46" i="22"/>
  <c r="B18" i="84"/>
  <c r="B85" i="84"/>
  <c r="C85" i="84"/>
  <c r="D85" i="84"/>
  <c r="G37" i="20"/>
  <c r="G43" i="20"/>
  <c r="G50" i="20"/>
  <c r="G56" i="20"/>
  <c r="D9" i="33"/>
  <c r="C37" i="20"/>
  <c r="C43" i="20"/>
  <c r="C50" i="20"/>
  <c r="C56" i="20"/>
  <c r="C60" i="20"/>
  <c r="C52" i="15"/>
  <c r="D49" i="15"/>
  <c r="D8" i="20"/>
  <c r="D21" i="20"/>
  <c r="D23" i="20"/>
  <c r="D14" i="20"/>
  <c r="D25" i="20"/>
  <c r="D31" i="20"/>
  <c r="D37" i="20"/>
  <c r="D43" i="20"/>
  <c r="E8" i="20"/>
  <c r="E21" i="20"/>
  <c r="E23" i="20"/>
  <c r="E14" i="20"/>
  <c r="E25" i="20"/>
  <c r="E31" i="20"/>
  <c r="E37" i="20"/>
  <c r="E43" i="20"/>
  <c r="E50" i="20"/>
  <c r="E56" i="20"/>
  <c r="F8" i="20"/>
  <c r="F21" i="20"/>
  <c r="F23" i="20"/>
  <c r="F14" i="20"/>
  <c r="F25" i="20"/>
  <c r="F31" i="20"/>
  <c r="F37" i="20"/>
  <c r="F43" i="20"/>
  <c r="F50" i="20"/>
  <c r="F56" i="20"/>
  <c r="F60" i="20"/>
  <c r="L15" i="21"/>
  <c r="I15" i="21"/>
  <c r="M15" i="21"/>
  <c r="F44" i="22"/>
  <c r="L13" i="21"/>
  <c r="F7" i="15"/>
  <c r="F11" i="15"/>
  <c r="I13" i="21"/>
  <c r="M13" i="21"/>
  <c r="C53" i="84"/>
  <c r="C54" i="84"/>
  <c r="C55" i="84"/>
  <c r="C56" i="84"/>
  <c r="C57" i="84"/>
  <c r="C58" i="84"/>
  <c r="C59" i="84"/>
  <c r="C60" i="84"/>
  <c r="C61" i="84"/>
  <c r="C62" i="84"/>
  <c r="C63" i="84"/>
  <c r="C64" i="84"/>
  <c r="C65" i="84"/>
  <c r="C66" i="84"/>
  <c r="C67" i="84"/>
  <c r="C68" i="84"/>
  <c r="C69" i="84"/>
  <c r="C70" i="84"/>
  <c r="C71" i="84"/>
  <c r="C52" i="84"/>
  <c r="B57" i="84"/>
  <c r="B58" i="84"/>
  <c r="B59" i="84"/>
  <c r="B60" i="84"/>
  <c r="B61" i="84"/>
  <c r="B62" i="84"/>
  <c r="B63" i="84"/>
  <c r="B64" i="84"/>
  <c r="B65" i="84"/>
  <c r="B66" i="84"/>
  <c r="B67" i="84"/>
  <c r="B68" i="84"/>
  <c r="B69" i="84"/>
  <c r="B70" i="84"/>
  <c r="B71" i="84"/>
  <c r="D52" i="84"/>
  <c r="D53" i="84"/>
  <c r="D54" i="84"/>
  <c r="D55" i="84"/>
  <c r="D56" i="84"/>
  <c r="D57" i="84"/>
  <c r="D58" i="84"/>
  <c r="D59" i="84"/>
  <c r="D60" i="84"/>
  <c r="D61" i="84"/>
  <c r="D62" i="84"/>
  <c r="D63" i="84"/>
  <c r="D64" i="84"/>
  <c r="D65" i="84"/>
  <c r="D66" i="84"/>
  <c r="D67" i="84"/>
  <c r="D68" i="84"/>
  <c r="D69" i="84"/>
  <c r="D70" i="84"/>
  <c r="D71" i="84"/>
  <c r="D72" i="84"/>
  <c r="A83" i="84"/>
  <c r="A17" i="84"/>
  <c r="B34" i="40"/>
  <c r="B33" i="40"/>
  <c r="B35" i="40"/>
  <c r="B15" i="21"/>
  <c r="B44" i="22"/>
  <c r="C7" i="15"/>
  <c r="C11" i="15"/>
  <c r="B13" i="21"/>
  <c r="B45" i="22"/>
  <c r="B46" i="22"/>
  <c r="B7" i="38"/>
  <c r="C22" i="40"/>
  <c r="B47" i="22"/>
  <c r="B48" i="22"/>
  <c r="B32" i="22"/>
  <c r="B33" i="22"/>
  <c r="B34" i="22"/>
  <c r="B33" i="21"/>
  <c r="B35" i="22"/>
  <c r="B19" i="21"/>
  <c r="B36" i="22"/>
  <c r="B60" i="21"/>
  <c r="B37" i="22"/>
  <c r="B38" i="22"/>
  <c r="B57" i="21"/>
  <c r="B39" i="22"/>
  <c r="B55" i="21"/>
  <c r="B40" i="22"/>
  <c r="C66" i="15"/>
  <c r="C30" i="15"/>
  <c r="C34" i="15"/>
  <c r="C39" i="15"/>
  <c r="C16" i="15"/>
  <c r="C41" i="15"/>
  <c r="C12" i="27"/>
  <c r="C24" i="40"/>
  <c r="B16" i="38"/>
  <c r="C20" i="40"/>
  <c r="E30" i="15"/>
  <c r="E34" i="15"/>
  <c r="E39" i="15"/>
  <c r="E7" i="80"/>
  <c r="E64" i="15"/>
  <c r="D34" i="15"/>
  <c r="D30" i="15"/>
  <c r="D39" i="15"/>
  <c r="D7" i="15"/>
  <c r="D11" i="15"/>
  <c r="D16" i="15"/>
  <c r="D41" i="15"/>
  <c r="C36" i="21"/>
  <c r="B36" i="21"/>
  <c r="C53" i="15"/>
  <c r="C71" i="15"/>
  <c r="B61" i="21"/>
  <c r="B63" i="21"/>
  <c r="B9" i="21"/>
  <c r="C9" i="21"/>
  <c r="D9" i="21"/>
  <c r="X14" i="80"/>
  <c r="R76" i="80"/>
  <c r="AA14" i="80"/>
  <c r="Z14" i="80"/>
  <c r="AA7" i="80"/>
  <c r="X7" i="80"/>
  <c r="AK54" i="80"/>
  <c r="AA6" i="80"/>
  <c r="AE58" i="80"/>
  <c r="AA12" i="80"/>
  <c r="Z12" i="80"/>
  <c r="X12" i="80"/>
  <c r="AA10" i="80"/>
  <c r="Z10" i="80"/>
  <c r="X10" i="80"/>
  <c r="AA9" i="80"/>
  <c r="J68" i="80"/>
  <c r="Z9" i="80"/>
  <c r="X9" i="80"/>
  <c r="J64" i="80"/>
  <c r="X8" i="80"/>
  <c r="X11" i="80"/>
  <c r="R65" i="80"/>
  <c r="E7" i="15"/>
  <c r="E11" i="15"/>
  <c r="E16" i="15"/>
  <c r="E41" i="15"/>
  <c r="E12" i="80"/>
  <c r="G12" i="80"/>
  <c r="AK77" i="80"/>
  <c r="Z13" i="80"/>
  <c r="AK78" i="80"/>
  <c r="AM77" i="80"/>
  <c r="H12" i="80"/>
  <c r="H10" i="80"/>
  <c r="C46" i="80"/>
  <c r="G10" i="80"/>
  <c r="E10" i="80"/>
  <c r="AA13" i="80"/>
  <c r="X13" i="80"/>
  <c r="AA5" i="80"/>
  <c r="X4" i="80"/>
  <c r="Z4" i="80"/>
  <c r="G6" i="80"/>
  <c r="Z15" i="80"/>
  <c r="AA4" i="80"/>
  <c r="H8" i="80"/>
  <c r="C58" i="80"/>
  <c r="F14" i="80"/>
  <c r="G7" i="80"/>
  <c r="H7" i="80"/>
  <c r="H14" i="80"/>
  <c r="AE47" i="80"/>
  <c r="C53" i="80"/>
  <c r="C55" i="80"/>
  <c r="C57" i="80"/>
  <c r="E57" i="80"/>
  <c r="J53" i="80"/>
  <c r="J55" i="80"/>
  <c r="J58" i="80"/>
  <c r="J57" i="80"/>
  <c r="L57" i="80"/>
  <c r="F11" i="80"/>
  <c r="H6" i="80"/>
  <c r="E6" i="80"/>
  <c r="H5" i="80"/>
  <c r="E13" i="80"/>
  <c r="H13" i="80"/>
  <c r="X47" i="80"/>
  <c r="G13" i="80"/>
  <c r="H9" i="80"/>
  <c r="R46" i="80"/>
  <c r="E15" i="80"/>
  <c r="G15" i="80"/>
  <c r="G16" i="80"/>
  <c r="H15" i="80"/>
  <c r="H4" i="80"/>
  <c r="R24" i="80"/>
  <c r="E35" i="80"/>
  <c r="AI79" i="80"/>
  <c r="E33" i="80"/>
  <c r="AI77" i="80"/>
  <c r="E31" i="80"/>
  <c r="AI75" i="80"/>
  <c r="G79" i="80"/>
  <c r="G77" i="80"/>
  <c r="G75" i="80"/>
  <c r="A79" i="80"/>
  <c r="A77" i="80"/>
  <c r="A75" i="80"/>
  <c r="V53" i="80"/>
  <c r="O75" i="80"/>
  <c r="V79" i="80"/>
  <c r="V77" i="80"/>
  <c r="V75" i="80"/>
  <c r="X31" i="80"/>
  <c r="AC75" i="80"/>
  <c r="O66" i="80"/>
  <c r="O68" i="80"/>
  <c r="O64" i="80"/>
  <c r="G68" i="80"/>
  <c r="G66" i="80"/>
  <c r="G64" i="80"/>
  <c r="A68" i="80"/>
  <c r="A66" i="80"/>
  <c r="A64" i="80"/>
  <c r="G57" i="80"/>
  <c r="G55" i="80"/>
  <c r="G53" i="80"/>
  <c r="A57" i="80"/>
  <c r="A55" i="80"/>
  <c r="A53" i="80"/>
  <c r="AI57" i="80"/>
  <c r="AI55" i="80"/>
  <c r="AI53" i="80"/>
  <c r="AC57" i="80"/>
  <c r="AC55" i="80"/>
  <c r="AC53" i="80"/>
  <c r="V57" i="80"/>
  <c r="V55" i="80"/>
  <c r="AI46" i="80"/>
  <c r="AI44" i="80"/>
  <c r="AI42" i="80"/>
  <c r="AC46" i="80"/>
  <c r="AC44" i="80"/>
  <c r="AC42" i="80"/>
  <c r="V46" i="80"/>
  <c r="V44" i="80"/>
  <c r="V42" i="80"/>
  <c r="O44" i="80"/>
  <c r="O46" i="80"/>
  <c r="O42" i="80"/>
  <c r="G44" i="80"/>
  <c r="G46" i="80"/>
  <c r="G42" i="80"/>
  <c r="A44" i="80"/>
  <c r="A46" i="80"/>
  <c r="A42" i="80"/>
  <c r="X33" i="80"/>
  <c r="X35" i="80"/>
  <c r="Y3" i="80"/>
  <c r="G3" i="80"/>
  <c r="Z3" i="80"/>
  <c r="H3" i="80"/>
  <c r="AA3" i="80"/>
  <c r="E3" i="80"/>
  <c r="X3" i="80"/>
  <c r="AK80" i="80"/>
  <c r="J80" i="80"/>
  <c r="AK79" i="80"/>
  <c r="X79" i="80"/>
  <c r="J79" i="80"/>
  <c r="L79" i="80"/>
  <c r="C79" i="80"/>
  <c r="X78" i="80"/>
  <c r="J78" i="80"/>
  <c r="C78" i="80"/>
  <c r="C77" i="80"/>
  <c r="E77" i="80"/>
  <c r="AK76" i="80"/>
  <c r="X76" i="80"/>
  <c r="C76" i="80"/>
  <c r="AK75" i="80"/>
  <c r="AM75" i="80"/>
  <c r="AE75" i="80"/>
  <c r="AA8" i="80"/>
  <c r="R68" i="80"/>
  <c r="C68" i="80"/>
  <c r="J67" i="80"/>
  <c r="R66" i="80"/>
  <c r="J66" i="80"/>
  <c r="L66" i="80"/>
  <c r="C66" i="80"/>
  <c r="C65" i="80"/>
  <c r="R64" i="80"/>
  <c r="T64" i="80"/>
  <c r="C64" i="80"/>
  <c r="E64" i="80"/>
  <c r="AK58" i="80"/>
  <c r="AE57" i="80"/>
  <c r="AG57" i="80"/>
  <c r="X57" i="80"/>
  <c r="AK47" i="80"/>
  <c r="J47" i="80"/>
  <c r="AK46" i="80"/>
  <c r="AE46" i="80"/>
  <c r="X46" i="80"/>
  <c r="X45" i="80"/>
  <c r="J45" i="80"/>
  <c r="AK44" i="80"/>
  <c r="AE44" i="80"/>
  <c r="X44" i="80"/>
  <c r="Z44" i="80"/>
  <c r="C44" i="80"/>
  <c r="X43" i="80"/>
  <c r="J43" i="80"/>
  <c r="X42" i="80"/>
  <c r="Z42" i="80"/>
  <c r="C42" i="80"/>
  <c r="AC36" i="80"/>
  <c r="AC35" i="80"/>
  <c r="G35" i="80"/>
  <c r="AC33" i="80"/>
  <c r="R25" i="80"/>
  <c r="T24" i="80"/>
  <c r="Z16" i="80"/>
  <c r="Y16" i="80"/>
  <c r="X16" i="80"/>
  <c r="F16" i="80"/>
  <c r="AA15" i="80"/>
  <c r="Y15" i="80"/>
  <c r="Y8" i="80"/>
  <c r="Y11" i="80"/>
  <c r="E19" i="63"/>
  <c r="C16" i="75"/>
  <c r="C27" i="75"/>
  <c r="D16" i="75"/>
  <c r="D27" i="75"/>
  <c r="E16" i="75"/>
  <c r="E27" i="75"/>
  <c r="B16" i="75"/>
  <c r="B27" i="75"/>
  <c r="K9" i="37"/>
  <c r="I9" i="37"/>
  <c r="C11" i="69"/>
  <c r="C24" i="34"/>
  <c r="C16" i="34"/>
  <c r="C14" i="69"/>
  <c r="C32" i="69"/>
  <c r="C20" i="70"/>
  <c r="C21" i="70"/>
  <c r="C22" i="70"/>
  <c r="B12" i="69"/>
  <c r="B13" i="69"/>
  <c r="B14" i="69"/>
  <c r="F34" i="15"/>
  <c r="F56" i="27"/>
  <c r="G34" i="15"/>
  <c r="G56" i="27"/>
  <c r="C50" i="21"/>
  <c r="B50" i="21"/>
  <c r="C3" i="22"/>
  <c r="C31" i="22"/>
  <c r="C43" i="22"/>
  <c r="C50" i="22"/>
  <c r="C54" i="22"/>
  <c r="D3" i="22"/>
  <c r="D31" i="22"/>
  <c r="D43" i="22"/>
  <c r="D50" i="22"/>
  <c r="D54" i="22"/>
  <c r="E3" i="22"/>
  <c r="E31" i="22"/>
  <c r="E43" i="22"/>
  <c r="E50" i="22"/>
  <c r="E54" i="22"/>
  <c r="F3" i="22"/>
  <c r="F31" i="22"/>
  <c r="F43" i="22"/>
  <c r="F50" i="22"/>
  <c r="F54" i="22"/>
  <c r="B3" i="22"/>
  <c r="B31" i="22"/>
  <c r="B43" i="22"/>
  <c r="B50" i="22"/>
  <c r="B54" i="22"/>
  <c r="E45" i="22"/>
  <c r="F15" i="21"/>
  <c r="E46" i="22"/>
  <c r="E47" i="22"/>
  <c r="F47" i="22"/>
  <c r="E26" i="22"/>
  <c r="F26" i="22"/>
  <c r="E25" i="22"/>
  <c r="F25" i="22"/>
  <c r="E40" i="22"/>
  <c r="F40" i="22"/>
  <c r="E34" i="22"/>
  <c r="F64" i="15"/>
  <c r="E38" i="22"/>
  <c r="D40" i="22"/>
  <c r="C40" i="22"/>
  <c r="D33" i="22"/>
  <c r="E33" i="22"/>
  <c r="F33" i="22"/>
  <c r="D14" i="22"/>
  <c r="E14" i="22"/>
  <c r="F14" i="22"/>
  <c r="G64" i="15"/>
  <c r="F38" i="22"/>
  <c r="D34" i="22"/>
  <c r="F34" i="22"/>
  <c r="C34" i="22"/>
  <c r="C33" i="22"/>
  <c r="D38" i="22"/>
  <c r="C38" i="22"/>
  <c r="C14" i="22"/>
  <c r="B14" i="22"/>
  <c r="B15" i="22"/>
  <c r="B13" i="22"/>
  <c r="B4" i="22"/>
  <c r="B8" i="22"/>
  <c r="B7" i="22"/>
  <c r="B6" i="22"/>
  <c r="B5" i="22"/>
  <c r="B9" i="22"/>
  <c r="B10" i="22"/>
  <c r="B54" i="21"/>
  <c r="B51" i="22"/>
  <c r="B52" i="22"/>
  <c r="B18" i="22"/>
  <c r="B42" i="21"/>
  <c r="B55" i="22"/>
  <c r="B43" i="21"/>
  <c r="B56" i="22"/>
  <c r="B44" i="21"/>
  <c r="B57" i="22"/>
  <c r="B17" i="22"/>
  <c r="B21" i="22"/>
  <c r="B20" i="22"/>
  <c r="B22" i="22"/>
  <c r="B26" i="22"/>
  <c r="B34" i="15"/>
  <c r="B25" i="22"/>
  <c r="B27" i="22"/>
  <c r="C25" i="22"/>
  <c r="D25" i="22"/>
  <c r="C26" i="22"/>
  <c r="C5" i="22"/>
  <c r="C6" i="22"/>
  <c r="C7" i="22"/>
  <c r="C9" i="22"/>
  <c r="C10" i="22"/>
  <c r="C21" i="21"/>
  <c r="B21" i="21"/>
  <c r="D21" i="21"/>
  <c r="C32" i="22"/>
  <c r="C33" i="21"/>
  <c r="C19" i="21"/>
  <c r="D19" i="21"/>
  <c r="C36" i="22"/>
  <c r="C60" i="21"/>
  <c r="C57" i="21"/>
  <c r="D57" i="21"/>
  <c r="C39" i="22"/>
  <c r="C13" i="22"/>
  <c r="C15" i="21"/>
  <c r="D15" i="21"/>
  <c r="C44" i="22"/>
  <c r="C13" i="21"/>
  <c r="D13" i="21"/>
  <c r="C46" i="22"/>
  <c r="C47" i="22"/>
  <c r="C42" i="21"/>
  <c r="C43" i="21"/>
  <c r="D43" i="21"/>
  <c r="C56" i="22"/>
  <c r="C20" i="22"/>
  <c r="C21" i="22"/>
  <c r="C22" i="22"/>
  <c r="D26" i="22"/>
  <c r="D27" i="22"/>
  <c r="D5" i="22"/>
  <c r="D6" i="22"/>
  <c r="D7" i="22"/>
  <c r="D9" i="22"/>
  <c r="D10" i="22"/>
  <c r="F21" i="21"/>
  <c r="F33" i="21"/>
  <c r="F19" i="21"/>
  <c r="F60" i="21"/>
  <c r="F57" i="21"/>
  <c r="D13" i="22"/>
  <c r="G15" i="21"/>
  <c r="D44" i="22"/>
  <c r="F13" i="21"/>
  <c r="D46" i="22"/>
  <c r="D47" i="22"/>
  <c r="F42" i="21"/>
  <c r="F43" i="21"/>
  <c r="G43" i="21"/>
  <c r="D56" i="22"/>
  <c r="D20" i="22"/>
  <c r="D21" i="22"/>
  <c r="D22" i="22"/>
  <c r="E27" i="22"/>
  <c r="E5" i="22"/>
  <c r="E6" i="22"/>
  <c r="E7" i="22"/>
  <c r="E8" i="22"/>
  <c r="E9" i="22"/>
  <c r="E10" i="22"/>
  <c r="I21" i="21"/>
  <c r="I33" i="21"/>
  <c r="J33" i="21"/>
  <c r="E35" i="22"/>
  <c r="I19" i="21"/>
  <c r="I60" i="21"/>
  <c r="I57" i="21"/>
  <c r="E13" i="22"/>
  <c r="E23" i="35"/>
  <c r="E17" i="22"/>
  <c r="I42" i="21"/>
  <c r="I43" i="21"/>
  <c r="J43" i="21"/>
  <c r="E56" i="22"/>
  <c r="E20" i="22"/>
  <c r="E21" i="22"/>
  <c r="E22" i="22"/>
  <c r="F27" i="22"/>
  <c r="F5" i="22"/>
  <c r="F6" i="22"/>
  <c r="F7" i="22"/>
  <c r="F9" i="22"/>
  <c r="F10" i="22"/>
  <c r="L21" i="21"/>
  <c r="M21" i="21"/>
  <c r="F32" i="22"/>
  <c r="L33" i="21"/>
  <c r="M33" i="21"/>
  <c r="F35" i="22"/>
  <c r="L19" i="21"/>
  <c r="M19" i="21"/>
  <c r="F36" i="22"/>
  <c r="L60" i="21"/>
  <c r="M60" i="21"/>
  <c r="F37" i="22"/>
  <c r="L57" i="21"/>
  <c r="M57" i="21"/>
  <c r="F39" i="22"/>
  <c r="F41" i="22"/>
  <c r="F13" i="22"/>
  <c r="F17" i="22"/>
  <c r="L42" i="21"/>
  <c r="M42" i="21"/>
  <c r="L43" i="21"/>
  <c r="M43" i="21"/>
  <c r="F56" i="22"/>
  <c r="F20" i="22"/>
  <c r="F21" i="22"/>
  <c r="F22" i="22"/>
  <c r="F36" i="21"/>
  <c r="F30" i="15"/>
  <c r="F39" i="15"/>
  <c r="F16" i="15"/>
  <c r="F41" i="15"/>
  <c r="I36" i="21"/>
  <c r="J36" i="21"/>
  <c r="G30" i="15"/>
  <c r="G39" i="15"/>
  <c r="G16" i="15"/>
  <c r="G41" i="15"/>
  <c r="L36" i="21"/>
  <c r="M36" i="21"/>
  <c r="N36" i="21"/>
  <c r="C27" i="21"/>
  <c r="B27" i="21"/>
  <c r="C23" i="21"/>
  <c r="B23" i="21"/>
  <c r="C24" i="21"/>
  <c r="B24" i="21"/>
  <c r="C25" i="21"/>
  <c r="B25" i="21"/>
  <c r="D25" i="21"/>
  <c r="C56" i="21"/>
  <c r="B56" i="21"/>
  <c r="C55" i="21"/>
  <c r="F27" i="21"/>
  <c r="F23" i="21"/>
  <c r="F24" i="21"/>
  <c r="G24" i="21"/>
  <c r="F25" i="21"/>
  <c r="F50" i="21"/>
  <c r="G50" i="21"/>
  <c r="H50" i="21"/>
  <c r="F56" i="21"/>
  <c r="G56" i="21"/>
  <c r="F55" i="21"/>
  <c r="I27" i="21"/>
  <c r="I23" i="21"/>
  <c r="I24" i="21"/>
  <c r="I25" i="21"/>
  <c r="J25" i="21"/>
  <c r="I50" i="21"/>
  <c r="I56" i="21"/>
  <c r="I55" i="21"/>
  <c r="L27" i="21"/>
  <c r="M27" i="21"/>
  <c r="L23" i="21"/>
  <c r="L24" i="21"/>
  <c r="M24" i="21"/>
  <c r="L25" i="21"/>
  <c r="M25" i="21"/>
  <c r="L50" i="21"/>
  <c r="M50" i="21"/>
  <c r="N50" i="21"/>
  <c r="L56" i="21"/>
  <c r="L55" i="21"/>
  <c r="M55" i="21"/>
  <c r="C38" i="75"/>
  <c r="D38" i="75"/>
  <c r="E38" i="75"/>
  <c r="B38" i="75"/>
  <c r="B39" i="75"/>
  <c r="B35" i="75"/>
  <c r="D32" i="75"/>
  <c r="D33" i="75"/>
  <c r="E32" i="75"/>
  <c r="B32" i="75"/>
  <c r="B29" i="75"/>
  <c r="E39" i="75"/>
  <c r="D39" i="75"/>
  <c r="C39" i="75"/>
  <c r="E7" i="67"/>
  <c r="E8" i="67"/>
  <c r="E9" i="67"/>
  <c r="E11" i="67"/>
  <c r="E13" i="67"/>
  <c r="E14" i="67"/>
  <c r="E15" i="67"/>
  <c r="E16" i="67"/>
  <c r="E17" i="67"/>
  <c r="E18" i="67"/>
  <c r="E24" i="67"/>
  <c r="E25" i="67"/>
  <c r="F7" i="67"/>
  <c r="F8" i="67"/>
  <c r="F9" i="67"/>
  <c r="F11" i="67"/>
  <c r="F13" i="67"/>
  <c r="F14" i="67"/>
  <c r="F15" i="67"/>
  <c r="F16" i="67"/>
  <c r="F41" i="67"/>
  <c r="F17" i="67"/>
  <c r="F18" i="67"/>
  <c r="F24" i="67"/>
  <c r="F25" i="67"/>
  <c r="D7" i="67"/>
  <c r="D8" i="67"/>
  <c r="D9" i="67"/>
  <c r="D13" i="67"/>
  <c r="D14" i="67"/>
  <c r="D15" i="67"/>
  <c r="C15" i="67"/>
  <c r="D65" i="67"/>
  <c r="D16" i="67"/>
  <c r="D17" i="67"/>
  <c r="D18" i="67"/>
  <c r="D24" i="67"/>
  <c r="D25" i="67"/>
  <c r="C7" i="67"/>
  <c r="C8" i="67"/>
  <c r="C9" i="67"/>
  <c r="C11" i="67"/>
  <c r="C13" i="67"/>
  <c r="C14" i="67"/>
  <c r="C16" i="67"/>
  <c r="C17" i="67"/>
  <c r="C18" i="67"/>
  <c r="C24" i="67"/>
  <c r="B13" i="67"/>
  <c r="C63" i="67"/>
  <c r="B14" i="67"/>
  <c r="B15" i="67"/>
  <c r="B40" i="67"/>
  <c r="B16" i="67"/>
  <c r="B17" i="67"/>
  <c r="B18" i="67"/>
  <c r="B20" i="67"/>
  <c r="B24" i="67"/>
  <c r="B25" i="67"/>
  <c r="B50" i="67"/>
  <c r="E75" i="67"/>
  <c r="C65" i="67"/>
  <c r="E65" i="67"/>
  <c r="F65" i="67"/>
  <c r="E66" i="67"/>
  <c r="C67" i="67"/>
  <c r="F67" i="67"/>
  <c r="C68" i="67"/>
  <c r="E68" i="67"/>
  <c r="B19" i="67"/>
  <c r="C19" i="67"/>
  <c r="D69" i="67"/>
  <c r="D19" i="67"/>
  <c r="E19" i="67"/>
  <c r="F69" i="67"/>
  <c r="F64" i="67"/>
  <c r="D64" i="67"/>
  <c r="F63" i="67"/>
  <c r="D63" i="67"/>
  <c r="C57" i="67"/>
  <c r="F57" i="67"/>
  <c r="C59" i="67"/>
  <c r="D59" i="67"/>
  <c r="E59" i="67"/>
  <c r="F59" i="67"/>
  <c r="D58" i="67"/>
  <c r="E58" i="67"/>
  <c r="F58" i="67"/>
  <c r="C58" i="67"/>
  <c r="E11" i="69"/>
  <c r="F11" i="69"/>
  <c r="F24" i="69"/>
  <c r="F24" i="34"/>
  <c r="F12" i="69"/>
  <c r="F13" i="69"/>
  <c r="F23" i="34"/>
  <c r="F15" i="34"/>
  <c r="F7" i="69"/>
  <c r="F16" i="34"/>
  <c r="F20" i="70"/>
  <c r="F21" i="70"/>
  <c r="F22" i="70"/>
  <c r="F25" i="70"/>
  <c r="D11" i="69"/>
  <c r="E24" i="34"/>
  <c r="E23" i="34"/>
  <c r="E15" i="34"/>
  <c r="E7" i="69"/>
  <c r="E16" i="34"/>
  <c r="E14" i="69"/>
  <c r="E32" i="69"/>
  <c r="E20" i="70"/>
  <c r="E21" i="70"/>
  <c r="E22" i="70"/>
  <c r="E25" i="70"/>
  <c r="D24" i="34"/>
  <c r="D23" i="34"/>
  <c r="D15" i="34"/>
  <c r="D7" i="69"/>
  <c r="D16" i="34"/>
  <c r="D14" i="69"/>
  <c r="D32" i="69"/>
  <c r="D20" i="70"/>
  <c r="D21" i="70"/>
  <c r="D22" i="70"/>
  <c r="D25" i="70"/>
  <c r="C25" i="70"/>
  <c r="B20" i="70"/>
  <c r="B21" i="70"/>
  <c r="B22" i="70"/>
  <c r="B25" i="70"/>
  <c r="B26" i="70"/>
  <c r="E12" i="69"/>
  <c r="D12" i="69"/>
  <c r="D13" i="69"/>
  <c r="D15" i="69"/>
  <c r="C12" i="69"/>
  <c r="F12" i="70"/>
  <c r="E12" i="70"/>
  <c r="D12" i="70"/>
  <c r="C12" i="70"/>
  <c r="F14" i="34"/>
  <c r="E14" i="34"/>
  <c r="E9" i="69"/>
  <c r="D14" i="34"/>
  <c r="D9" i="69"/>
  <c r="C14" i="34"/>
  <c r="B9" i="69"/>
  <c r="E8" i="69"/>
  <c r="D8" i="69"/>
  <c r="C8" i="69"/>
  <c r="B8" i="69"/>
  <c r="B7" i="69"/>
  <c r="E44" i="67"/>
  <c r="F19" i="67"/>
  <c r="A19" i="67"/>
  <c r="F33" i="67"/>
  <c r="F35" i="67"/>
  <c r="F42" i="67"/>
  <c r="E33" i="67"/>
  <c r="E35" i="67"/>
  <c r="E42" i="67"/>
  <c r="C33" i="67"/>
  <c r="C35" i="67"/>
  <c r="C42" i="67"/>
  <c r="B33" i="67"/>
  <c r="B34" i="67"/>
  <c r="B35" i="67"/>
  <c r="B36" i="67"/>
  <c r="B38" i="67"/>
  <c r="B39" i="67"/>
  <c r="B41" i="67"/>
  <c r="B42" i="67"/>
  <c r="B43" i="67"/>
  <c r="B49" i="67"/>
  <c r="B5" i="67"/>
  <c r="C5" i="67"/>
  <c r="D5" i="67"/>
  <c r="E5" i="67"/>
  <c r="F5" i="67"/>
  <c r="A18" i="67"/>
  <c r="A24" i="67"/>
  <c r="A17" i="67"/>
  <c r="A16" i="67"/>
  <c r="A15" i="67"/>
  <c r="A14" i="67"/>
  <c r="A13" i="67"/>
  <c r="A9" i="67"/>
  <c r="A8" i="67"/>
  <c r="A7" i="67"/>
  <c r="D43" i="63"/>
  <c r="E43" i="63"/>
  <c r="F43" i="63"/>
  <c r="D44" i="63"/>
  <c r="E44" i="63"/>
  <c r="F44" i="63"/>
  <c r="D45" i="63"/>
  <c r="E45" i="63"/>
  <c r="F45" i="63"/>
  <c r="D46" i="63"/>
  <c r="E46" i="63"/>
  <c r="F46" i="63"/>
  <c r="D47" i="63"/>
  <c r="E47" i="63"/>
  <c r="F47" i="63"/>
  <c r="D48" i="63"/>
  <c r="E48" i="63"/>
  <c r="F48" i="63"/>
  <c r="D49" i="63"/>
  <c r="E49" i="63"/>
  <c r="F49" i="63"/>
  <c r="D50" i="63"/>
  <c r="E50" i="63"/>
  <c r="F50" i="63"/>
  <c r="D51" i="63"/>
  <c r="E51" i="63"/>
  <c r="F51" i="63"/>
  <c r="D52" i="63"/>
  <c r="E52" i="63"/>
  <c r="F52" i="63"/>
  <c r="D53" i="63"/>
  <c r="E53" i="63"/>
  <c r="F53" i="63"/>
  <c r="D54" i="63"/>
  <c r="E54" i="63"/>
  <c r="F54" i="63"/>
  <c r="D55" i="63"/>
  <c r="E55" i="63"/>
  <c r="F55" i="63"/>
  <c r="D56" i="63"/>
  <c r="E56" i="63"/>
  <c r="F56" i="63"/>
  <c r="D57" i="63"/>
  <c r="E57" i="63"/>
  <c r="F57" i="63"/>
  <c r="D58" i="63"/>
  <c r="E58" i="63"/>
  <c r="F58" i="63"/>
  <c r="D59" i="63"/>
  <c r="E59" i="63"/>
  <c r="F59" i="63"/>
  <c r="D60" i="63"/>
  <c r="E60" i="63"/>
  <c r="F60" i="63"/>
  <c r="D61" i="63"/>
  <c r="E61" i="63"/>
  <c r="F61" i="63"/>
  <c r="D62" i="63"/>
  <c r="E62" i="63"/>
  <c r="F62" i="63"/>
  <c r="D63" i="63"/>
  <c r="E63" i="63"/>
  <c r="F63" i="63"/>
  <c r="D64" i="63"/>
  <c r="E64" i="63"/>
  <c r="F64" i="63"/>
  <c r="D65" i="63"/>
  <c r="E65" i="63"/>
  <c r="F65" i="63"/>
  <c r="D66" i="63"/>
  <c r="E66" i="63"/>
  <c r="F66" i="63"/>
  <c r="D67" i="63"/>
  <c r="E67" i="63"/>
  <c r="F67" i="63"/>
  <c r="D68" i="63"/>
  <c r="E68" i="63"/>
  <c r="F68" i="63"/>
  <c r="D69" i="63"/>
  <c r="E69" i="63"/>
  <c r="F69" i="63"/>
  <c r="D70" i="63"/>
  <c r="E70" i="63"/>
  <c r="F70" i="63"/>
  <c r="D71" i="63"/>
  <c r="E71" i="63"/>
  <c r="F71" i="63"/>
  <c r="D72" i="63"/>
  <c r="E72" i="63"/>
  <c r="F72" i="63"/>
  <c r="D73" i="63"/>
  <c r="E73" i="63"/>
  <c r="F73" i="63"/>
  <c r="D74" i="63"/>
  <c r="E74" i="63"/>
  <c r="F74" i="63"/>
  <c r="D75" i="63"/>
  <c r="E75" i="63"/>
  <c r="F75" i="63"/>
  <c r="D76" i="63"/>
  <c r="E76" i="63"/>
  <c r="F76" i="63"/>
  <c r="D77" i="63"/>
  <c r="E77" i="63"/>
  <c r="F77" i="63"/>
  <c r="D78" i="63"/>
  <c r="E78" i="63"/>
  <c r="F78" i="63"/>
  <c r="D79" i="63"/>
  <c r="E79" i="63"/>
  <c r="F79" i="63"/>
  <c r="D80" i="63"/>
  <c r="E80" i="63"/>
  <c r="F80" i="63"/>
  <c r="D81" i="63"/>
  <c r="E81" i="63"/>
  <c r="F81" i="63"/>
  <c r="D82" i="63"/>
  <c r="E82" i="63"/>
  <c r="F82" i="63"/>
  <c r="D83" i="63"/>
  <c r="E83" i="63"/>
  <c r="F83" i="63"/>
  <c r="D84" i="63"/>
  <c r="E84" i="63"/>
  <c r="F84" i="63"/>
  <c r="D85" i="63"/>
  <c r="E85" i="63"/>
  <c r="F85" i="63"/>
  <c r="D86" i="63"/>
  <c r="E86" i="63"/>
  <c r="F86" i="63"/>
  <c r="D87" i="63"/>
  <c r="E87" i="63"/>
  <c r="F87" i="63"/>
  <c r="D88" i="63"/>
  <c r="E88" i="63"/>
  <c r="F88" i="63"/>
  <c r="D89" i="63"/>
  <c r="E89" i="63"/>
  <c r="F89" i="63"/>
  <c r="D90" i="63"/>
  <c r="E90" i="63"/>
  <c r="F90" i="63"/>
  <c r="D91" i="63"/>
  <c r="E91" i="63"/>
  <c r="F91" i="63"/>
  <c r="D92" i="63"/>
  <c r="E92" i="63"/>
  <c r="F92" i="63"/>
  <c r="D93" i="63"/>
  <c r="E93" i="63"/>
  <c r="F93" i="63"/>
  <c r="D94" i="63"/>
  <c r="E94" i="63"/>
  <c r="F94" i="63"/>
  <c r="D95" i="63"/>
  <c r="E95" i="63"/>
  <c r="F95" i="63"/>
  <c r="D96" i="63"/>
  <c r="E96" i="63"/>
  <c r="F96" i="63"/>
  <c r="D97" i="63"/>
  <c r="E97" i="63"/>
  <c r="F97" i="63"/>
  <c r="D98" i="63"/>
  <c r="E98" i="63"/>
  <c r="F98" i="63"/>
  <c r="D99" i="63"/>
  <c r="E99" i="63"/>
  <c r="F99" i="63"/>
  <c r="D100" i="63"/>
  <c r="E100" i="63"/>
  <c r="F100" i="63"/>
  <c r="D101" i="63"/>
  <c r="E101" i="63"/>
  <c r="F101" i="63"/>
  <c r="D102" i="63"/>
  <c r="E102" i="63"/>
  <c r="F102" i="63"/>
  <c r="D103" i="63"/>
  <c r="E103" i="63"/>
  <c r="F103" i="63"/>
  <c r="D104" i="63"/>
  <c r="E104" i="63"/>
  <c r="F104" i="63"/>
  <c r="D105" i="63"/>
  <c r="E105" i="63"/>
  <c r="F105" i="63"/>
  <c r="D106" i="63"/>
  <c r="E106" i="63"/>
  <c r="F106" i="63"/>
  <c r="D107" i="63"/>
  <c r="E107" i="63"/>
  <c r="F107" i="63"/>
  <c r="D108" i="63"/>
  <c r="E108" i="63"/>
  <c r="F108" i="63"/>
  <c r="D109" i="63"/>
  <c r="E109" i="63"/>
  <c r="F109" i="63"/>
  <c r="D110" i="63"/>
  <c r="E110" i="63"/>
  <c r="F110" i="63"/>
  <c r="D111" i="63"/>
  <c r="E111" i="63"/>
  <c r="F111" i="63"/>
  <c r="D112" i="63"/>
  <c r="E112" i="63"/>
  <c r="F112" i="63"/>
  <c r="D113" i="63"/>
  <c r="E113" i="63"/>
  <c r="F113" i="63"/>
  <c r="D114" i="63"/>
  <c r="E114" i="63"/>
  <c r="F114" i="63"/>
  <c r="D115" i="63"/>
  <c r="E115" i="63"/>
  <c r="F115" i="63"/>
  <c r="D116" i="63"/>
  <c r="E116" i="63"/>
  <c r="F116" i="63"/>
  <c r="D117" i="63"/>
  <c r="E117" i="63"/>
  <c r="F117" i="63"/>
  <c r="D118" i="63"/>
  <c r="E118" i="63"/>
  <c r="F118" i="63"/>
  <c r="D119" i="63"/>
  <c r="E119" i="63"/>
  <c r="F119" i="63"/>
  <c r="D120" i="63"/>
  <c r="E120" i="63"/>
  <c r="F120" i="63"/>
  <c r="D121" i="63"/>
  <c r="E121" i="63"/>
  <c r="F121" i="63"/>
  <c r="D122" i="63"/>
  <c r="E122" i="63"/>
  <c r="F122" i="63"/>
  <c r="D123" i="63"/>
  <c r="E123" i="63"/>
  <c r="F123" i="63"/>
  <c r="D124" i="63"/>
  <c r="E124" i="63"/>
  <c r="F124" i="63"/>
  <c r="D125" i="63"/>
  <c r="E125" i="63"/>
  <c r="F125" i="63"/>
  <c r="D126" i="63"/>
  <c r="E126" i="63"/>
  <c r="F126" i="63"/>
  <c r="D127" i="63"/>
  <c r="E127" i="63"/>
  <c r="F127" i="63"/>
  <c r="D128" i="63"/>
  <c r="E128" i="63"/>
  <c r="F128" i="63"/>
  <c r="D129" i="63"/>
  <c r="E129" i="63"/>
  <c r="F129" i="63"/>
  <c r="D130" i="63"/>
  <c r="E130" i="63"/>
  <c r="F130" i="63"/>
  <c r="D131" i="63"/>
  <c r="E131" i="63"/>
  <c r="F131" i="63"/>
  <c r="D132" i="63"/>
  <c r="E132" i="63"/>
  <c r="F132" i="63"/>
  <c r="D133" i="63"/>
  <c r="E133" i="63"/>
  <c r="F133" i="63"/>
  <c r="D134" i="63"/>
  <c r="E134" i="63"/>
  <c r="F134" i="63"/>
  <c r="D135" i="63"/>
  <c r="E135" i="63"/>
  <c r="F135" i="63"/>
  <c r="D136" i="63"/>
  <c r="E136" i="63"/>
  <c r="F136" i="63"/>
  <c r="D137" i="63"/>
  <c r="E137" i="63"/>
  <c r="F137" i="63"/>
  <c r="D138" i="63"/>
  <c r="E138" i="63"/>
  <c r="F138" i="63"/>
  <c r="D139" i="63"/>
  <c r="E139" i="63"/>
  <c r="F139" i="63"/>
  <c r="D140" i="63"/>
  <c r="E140" i="63"/>
  <c r="F140" i="63"/>
  <c r="D141" i="63"/>
  <c r="E141" i="63"/>
  <c r="F141" i="63"/>
  <c r="D142" i="63"/>
  <c r="E142" i="63"/>
  <c r="F142" i="63"/>
  <c r="D143" i="63"/>
  <c r="E143" i="63"/>
  <c r="F143" i="63"/>
  <c r="D144" i="63"/>
  <c r="E144" i="63"/>
  <c r="F144" i="63"/>
  <c r="D145" i="63"/>
  <c r="E145" i="63"/>
  <c r="F145" i="63"/>
  <c r="D146" i="63"/>
  <c r="E146" i="63"/>
  <c r="F146" i="63"/>
  <c r="D147" i="63"/>
  <c r="E147" i="63"/>
  <c r="F147" i="63"/>
  <c r="D148" i="63"/>
  <c r="E148" i="63"/>
  <c r="F148" i="63"/>
  <c r="D149" i="63"/>
  <c r="E149" i="63"/>
  <c r="F149" i="63"/>
  <c r="D150" i="63"/>
  <c r="E150" i="63"/>
  <c r="F150" i="63"/>
  <c r="D151" i="63"/>
  <c r="E151" i="63"/>
  <c r="F151" i="63"/>
  <c r="D152" i="63"/>
  <c r="E152" i="63"/>
  <c r="F152" i="63"/>
  <c r="D153" i="63"/>
  <c r="E153" i="63"/>
  <c r="F153" i="63"/>
  <c r="D154" i="63"/>
  <c r="E154" i="63"/>
  <c r="F154" i="63"/>
  <c r="D155" i="63"/>
  <c r="E155" i="63"/>
  <c r="F155" i="63"/>
  <c r="D156" i="63"/>
  <c r="E156" i="63"/>
  <c r="F156" i="63"/>
  <c r="D49" i="27"/>
  <c r="E49" i="27"/>
  <c r="F49" i="27"/>
  <c r="G49" i="27"/>
  <c r="C49" i="27"/>
  <c r="D37" i="27"/>
  <c r="D38" i="27"/>
  <c r="E37" i="27"/>
  <c r="E38" i="27"/>
  <c r="F37" i="27"/>
  <c r="F38" i="27"/>
  <c r="G37" i="27"/>
  <c r="G38" i="27"/>
  <c r="C37" i="27"/>
  <c r="C38" i="27"/>
  <c r="D35" i="27"/>
  <c r="D36" i="27"/>
  <c r="E35" i="27"/>
  <c r="E36" i="27"/>
  <c r="F35" i="27"/>
  <c r="F36" i="27"/>
  <c r="G35" i="27"/>
  <c r="G36" i="27"/>
  <c r="C35" i="27"/>
  <c r="C36" i="27"/>
  <c r="N57" i="21"/>
  <c r="I52" i="21"/>
  <c r="N52" i="21"/>
  <c r="I45" i="21"/>
  <c r="N45" i="21"/>
  <c r="N43" i="21"/>
  <c r="I35" i="21"/>
  <c r="L35" i="21"/>
  <c r="N33" i="21"/>
  <c r="I31" i="21"/>
  <c r="L31" i="21"/>
  <c r="M31" i="21"/>
  <c r="N31" i="21"/>
  <c r="I30" i="21"/>
  <c r="L30" i="21"/>
  <c r="M30" i="21"/>
  <c r="N30" i="21"/>
  <c r="I28" i="21"/>
  <c r="L28" i="21"/>
  <c r="M28" i="21"/>
  <c r="N28" i="21"/>
  <c r="I26" i="21"/>
  <c r="N26" i="21"/>
  <c r="N25" i="21"/>
  <c r="N21" i="21"/>
  <c r="N19" i="21"/>
  <c r="L16" i="21"/>
  <c r="I16" i="21"/>
  <c r="N15" i="21"/>
  <c r="I12" i="21"/>
  <c r="N12" i="21"/>
  <c r="I11" i="21"/>
  <c r="L11" i="21"/>
  <c r="M11" i="21"/>
  <c r="N11" i="21"/>
  <c r="I10" i="21"/>
  <c r="N10" i="21"/>
  <c r="I9" i="21"/>
  <c r="L9" i="21"/>
  <c r="M9" i="21"/>
  <c r="N9" i="21"/>
  <c r="K60" i="21"/>
  <c r="F52" i="21"/>
  <c r="K52" i="21"/>
  <c r="F45" i="21"/>
  <c r="K45" i="21"/>
  <c r="K43" i="21"/>
  <c r="F35" i="21"/>
  <c r="K33" i="21"/>
  <c r="F31" i="21"/>
  <c r="J31" i="21"/>
  <c r="K31" i="21"/>
  <c r="F30" i="21"/>
  <c r="F28" i="21"/>
  <c r="J28" i="21"/>
  <c r="K28" i="21"/>
  <c r="F26" i="21"/>
  <c r="K26" i="21"/>
  <c r="K24" i="21"/>
  <c r="F16" i="21"/>
  <c r="F12" i="21"/>
  <c r="K12" i="21"/>
  <c r="F11" i="21"/>
  <c r="J11" i="21"/>
  <c r="K11" i="21"/>
  <c r="F10" i="21"/>
  <c r="K10" i="21"/>
  <c r="F9" i="21"/>
  <c r="J9" i="21"/>
  <c r="H60" i="21"/>
  <c r="H57" i="21"/>
  <c r="H56" i="21"/>
  <c r="C52" i="21"/>
  <c r="H52" i="21"/>
  <c r="C45" i="21"/>
  <c r="H45" i="21"/>
  <c r="H43" i="21"/>
  <c r="H33" i="21"/>
  <c r="C31" i="21"/>
  <c r="G31" i="21"/>
  <c r="H31" i="21"/>
  <c r="C30" i="21"/>
  <c r="B30" i="21"/>
  <c r="D30" i="21"/>
  <c r="H24" i="21"/>
  <c r="H25" i="21"/>
  <c r="C26" i="21"/>
  <c r="G26" i="21"/>
  <c r="H26" i="21"/>
  <c r="H27" i="21"/>
  <c r="H21" i="21"/>
  <c r="H19" i="21"/>
  <c r="H15" i="21"/>
  <c r="G9" i="21"/>
  <c r="H9" i="21"/>
  <c r="C10" i="21"/>
  <c r="H10" i="21"/>
  <c r="C11" i="21"/>
  <c r="G11" i="21"/>
  <c r="H11" i="21"/>
  <c r="C12" i="21"/>
  <c r="H12" i="21"/>
  <c r="B11" i="21"/>
  <c r="E60" i="21"/>
  <c r="E57" i="21"/>
  <c r="B52" i="21"/>
  <c r="E52" i="21"/>
  <c r="B45" i="21"/>
  <c r="E45" i="21"/>
  <c r="E43" i="21"/>
  <c r="E33" i="21"/>
  <c r="B31" i="21"/>
  <c r="E31" i="21"/>
  <c r="E30" i="21"/>
  <c r="E25" i="21"/>
  <c r="E24" i="21"/>
  <c r="E21" i="21"/>
  <c r="E19" i="21"/>
  <c r="E15" i="21"/>
  <c r="B12" i="21"/>
  <c r="E12" i="21"/>
  <c r="B10" i="21"/>
  <c r="E10" i="21"/>
  <c r="B30" i="42"/>
  <c r="G10" i="46"/>
  <c r="G56" i="46"/>
  <c r="F10" i="46"/>
  <c r="E10" i="46"/>
  <c r="E56" i="46"/>
  <c r="D10" i="46"/>
  <c r="D56" i="46"/>
  <c r="C10" i="46"/>
  <c r="C56" i="46"/>
  <c r="G13" i="46"/>
  <c r="F13" i="46"/>
  <c r="F54" i="46"/>
  <c r="E13" i="46"/>
  <c r="E54" i="46"/>
  <c r="D13" i="46"/>
  <c r="D54" i="46"/>
  <c r="C13" i="46"/>
  <c r="G5" i="46"/>
  <c r="G53" i="46"/>
  <c r="F5" i="46"/>
  <c r="F53" i="46"/>
  <c r="E5" i="46"/>
  <c r="E53" i="46"/>
  <c r="D5" i="46"/>
  <c r="C5" i="46"/>
  <c r="C53" i="46"/>
  <c r="G38" i="46"/>
  <c r="E38" i="46"/>
  <c r="D38" i="46"/>
  <c r="C38" i="46"/>
  <c r="F36" i="46"/>
  <c r="E36" i="46"/>
  <c r="E35" i="46"/>
  <c r="E37" i="46"/>
  <c r="D36" i="46"/>
  <c r="G35" i="46"/>
  <c r="C35" i="46"/>
  <c r="B14" i="46"/>
  <c r="C9" i="46"/>
  <c r="B7" i="46"/>
  <c r="B8" i="46"/>
  <c r="B6" i="46"/>
  <c r="C63" i="46"/>
  <c r="D7" i="38"/>
  <c r="F7" i="38"/>
  <c r="E7" i="38"/>
  <c r="C7" i="38"/>
  <c r="F22" i="40"/>
  <c r="B31" i="40"/>
  <c r="B28" i="40"/>
  <c r="B36" i="42"/>
  <c r="B22" i="42"/>
  <c r="B48" i="42"/>
  <c r="F19" i="43"/>
  <c r="F11" i="43"/>
  <c r="E11" i="43"/>
  <c r="E19" i="43"/>
  <c r="E21" i="43"/>
  <c r="D11" i="43"/>
  <c r="F20" i="43"/>
  <c r="E20" i="43"/>
  <c r="D20" i="43"/>
  <c r="E8" i="44"/>
  <c r="C20" i="43"/>
  <c r="D19" i="43"/>
  <c r="C19" i="43"/>
  <c r="F9" i="38"/>
  <c r="K30" i="37"/>
  <c r="G31" i="27"/>
  <c r="K16" i="37"/>
  <c r="L16" i="37"/>
  <c r="E9" i="38"/>
  <c r="F31" i="27"/>
  <c r="I16" i="37"/>
  <c r="J16" i="37"/>
  <c r="C57" i="27"/>
  <c r="C22" i="37"/>
  <c r="D22" i="37"/>
  <c r="D9" i="38"/>
  <c r="C9" i="38"/>
  <c r="E30" i="37"/>
  <c r="E31" i="37"/>
  <c r="B9" i="38"/>
  <c r="C30" i="37"/>
  <c r="C31" i="37"/>
  <c r="C19" i="37"/>
  <c r="D19" i="37"/>
  <c r="C31" i="27"/>
  <c r="C16" i="37"/>
  <c r="D16" i="37"/>
  <c r="C13" i="37"/>
  <c r="D13" i="37"/>
  <c r="C10" i="37"/>
  <c r="D10" i="37"/>
  <c r="D25" i="37"/>
  <c r="C26" i="37"/>
  <c r="G8" i="36"/>
  <c r="F8" i="36"/>
  <c r="E8" i="36"/>
  <c r="D8" i="36"/>
  <c r="C8" i="36"/>
  <c r="F17" i="38"/>
  <c r="E17" i="38"/>
  <c r="D17" i="38"/>
  <c r="C17" i="38"/>
  <c r="B17" i="38"/>
  <c r="A32" i="35"/>
  <c r="M32" i="35"/>
  <c r="F19" i="35"/>
  <c r="C29" i="27"/>
  <c r="D29" i="27"/>
  <c r="E29" i="27"/>
  <c r="F29" i="27"/>
  <c r="G29" i="27"/>
  <c r="B43" i="31"/>
  <c r="B83" i="31"/>
  <c r="B12" i="35"/>
  <c r="G19" i="35"/>
  <c r="B13" i="35"/>
  <c r="I21" i="35"/>
  <c r="L21" i="35"/>
  <c r="B16" i="35"/>
  <c r="B60" i="31"/>
  <c r="B61" i="31"/>
  <c r="B62" i="31"/>
  <c r="B63" i="31"/>
  <c r="F65" i="31"/>
  <c r="C56" i="31"/>
  <c r="G65" i="31"/>
  <c r="C65" i="31"/>
  <c r="C67" i="31"/>
  <c r="E65" i="31"/>
  <c r="E67" i="31"/>
  <c r="F26" i="35"/>
  <c r="E26" i="35"/>
  <c r="D26" i="35"/>
  <c r="C26" i="35"/>
  <c r="B26" i="35"/>
  <c r="F23" i="35"/>
  <c r="G23" i="35"/>
  <c r="H23" i="35"/>
  <c r="I23" i="35"/>
  <c r="J23" i="35"/>
  <c r="K23" i="35"/>
  <c r="L23" i="35"/>
  <c r="D23" i="35"/>
  <c r="C23" i="35"/>
  <c r="B23" i="35"/>
  <c r="F20" i="35"/>
  <c r="F21" i="35"/>
  <c r="E20" i="35"/>
  <c r="E19" i="35"/>
  <c r="D20" i="35"/>
  <c r="D19" i="35"/>
  <c r="D21" i="35"/>
  <c r="C20" i="35"/>
  <c r="C19" i="35"/>
  <c r="C21" i="35"/>
  <c r="B20" i="35"/>
  <c r="B19" i="35"/>
  <c r="F25" i="34"/>
  <c r="E25" i="34"/>
  <c r="D25" i="34"/>
  <c r="B25" i="34"/>
  <c r="G16" i="20"/>
  <c r="F16" i="20"/>
  <c r="E16" i="20"/>
  <c r="D16" i="20"/>
  <c r="C16" i="20"/>
  <c r="E17" i="34"/>
  <c r="E29" i="34"/>
  <c r="D17" i="34"/>
  <c r="D29" i="34"/>
  <c r="G53" i="27"/>
  <c r="F53" i="27"/>
  <c r="E53" i="27"/>
  <c r="D53" i="27"/>
  <c r="C53" i="27"/>
  <c r="G52" i="27"/>
  <c r="F52" i="27"/>
  <c r="E52" i="27"/>
  <c r="D52" i="27"/>
  <c r="C52" i="27"/>
  <c r="G39" i="27"/>
  <c r="G40" i="27"/>
  <c r="F39" i="27"/>
  <c r="F40" i="27"/>
  <c r="E39" i="27"/>
  <c r="D39" i="27"/>
  <c r="C16" i="27"/>
  <c r="C14" i="27"/>
  <c r="C7" i="27"/>
  <c r="C6" i="27"/>
  <c r="C13" i="27"/>
  <c r="F18" i="46"/>
  <c r="F19" i="46"/>
  <c r="F20" i="46"/>
  <c r="G18" i="46"/>
  <c r="F29" i="46"/>
  <c r="E29" i="46"/>
  <c r="E18" i="46"/>
  <c r="C29" i="46"/>
  <c r="D19" i="46"/>
  <c r="G21" i="46"/>
  <c r="D21" i="46"/>
  <c r="C21" i="46"/>
  <c r="C18" i="46"/>
  <c r="G8" i="44"/>
  <c r="F8" i="44"/>
  <c r="G7" i="44"/>
  <c r="F7" i="44"/>
  <c r="F11" i="44"/>
  <c r="E7" i="44"/>
  <c r="E11" i="44"/>
  <c r="E32" i="43"/>
  <c r="B32" i="43"/>
  <c r="D10" i="43"/>
  <c r="C10" i="43"/>
  <c r="B32" i="42"/>
  <c r="E21" i="42"/>
  <c r="E42" i="42"/>
  <c r="D21" i="42"/>
  <c r="D42" i="42"/>
  <c r="B50" i="40"/>
  <c r="C50" i="40"/>
  <c r="F19" i="38"/>
  <c r="C19" i="38"/>
  <c r="F5" i="38"/>
  <c r="E5" i="38"/>
  <c r="D5" i="38"/>
  <c r="C5" i="38"/>
  <c r="B5" i="38"/>
  <c r="A52" i="46"/>
  <c r="D8" i="44"/>
  <c r="B50" i="42"/>
  <c r="B47" i="42"/>
  <c r="A60" i="40"/>
  <c r="F12" i="35"/>
  <c r="B7" i="33"/>
  <c r="D7" i="33"/>
  <c r="C24" i="42"/>
  <c r="C43" i="42"/>
  <c r="D24" i="42"/>
  <c r="D43" i="42"/>
  <c r="D10" i="33"/>
  <c r="E24" i="42"/>
  <c r="E43" i="42"/>
  <c r="G9" i="37"/>
  <c r="E9" i="37"/>
  <c r="C9" i="37"/>
  <c r="B14" i="38"/>
  <c r="B15" i="38"/>
  <c r="B19" i="38"/>
  <c r="C15" i="36"/>
  <c r="H21" i="35"/>
  <c r="F34" i="29"/>
  <c r="F35" i="29"/>
  <c r="F37" i="29"/>
  <c r="F104" i="31"/>
  <c r="G104" i="31"/>
  <c r="E104" i="31"/>
  <c r="D104" i="31"/>
  <c r="F29" i="29"/>
  <c r="E8" i="28"/>
  <c r="E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55" i="28"/>
  <c r="E56" i="28"/>
  <c r="E57" i="28"/>
  <c r="E58" i="28"/>
  <c r="E59" i="28"/>
  <c r="E60" i="28"/>
  <c r="E61" i="28"/>
  <c r="E62" i="28"/>
  <c r="E63" i="28"/>
  <c r="E64" i="28"/>
  <c r="E65" i="28"/>
  <c r="E66" i="28"/>
  <c r="E67" i="28"/>
  <c r="E68" i="28"/>
  <c r="E69" i="28"/>
  <c r="E70" i="28"/>
  <c r="E71" i="28"/>
  <c r="E72" i="28"/>
  <c r="E73" i="28"/>
  <c r="E74" i="28"/>
  <c r="E75" i="28"/>
  <c r="E76" i="28"/>
  <c r="E77" i="28"/>
  <c r="K8" i="28"/>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C39" i="27"/>
  <c r="C40" i="27"/>
  <c r="F27" i="27"/>
  <c r="G45" i="27"/>
  <c r="G24" i="42"/>
  <c r="G43" i="42"/>
  <c r="F24" i="42"/>
  <c r="F43" i="42"/>
  <c r="L52" i="21"/>
  <c r="L45" i="21"/>
  <c r="M45" i="21"/>
  <c r="L26" i="21"/>
  <c r="L10" i="21"/>
  <c r="L12" i="21"/>
  <c r="M26" i="21"/>
  <c r="F47" i="27"/>
  <c r="K86" i="29"/>
  <c r="K84" i="29"/>
  <c r="I86" i="29"/>
  <c r="I84" i="29"/>
  <c r="G48" i="27"/>
  <c r="G46" i="27"/>
  <c r="G44" i="27"/>
  <c r="B86" i="29"/>
  <c r="B84" i="29"/>
  <c r="D86" i="29"/>
  <c r="D84" i="29"/>
  <c r="G21" i="27"/>
  <c r="I85" i="29"/>
  <c r="B85" i="29"/>
  <c r="K85" i="29"/>
  <c r="D85" i="29"/>
  <c r="J10" i="21"/>
  <c r="B50" i="20"/>
  <c r="B43" i="20"/>
  <c r="B37" i="20"/>
  <c r="B23" i="20"/>
  <c r="B8" i="20"/>
  <c r="B16" i="20"/>
  <c r="B66" i="15"/>
  <c r="B53" i="15"/>
  <c r="B71" i="15"/>
  <c r="B30" i="15"/>
  <c r="B39" i="15"/>
  <c r="B41" i="15"/>
  <c r="B74" i="15"/>
  <c r="B11" i="15"/>
  <c r="B25" i="20"/>
  <c r="B31" i="20"/>
  <c r="B56" i="20"/>
  <c r="B60" i="20"/>
  <c r="F44" i="27"/>
  <c r="F45" i="27"/>
  <c r="F46" i="27"/>
  <c r="F48" i="27"/>
  <c r="F21" i="27"/>
  <c r="L54" i="29"/>
  <c r="D27" i="27"/>
  <c r="E27" i="27"/>
  <c r="E46" i="27"/>
  <c r="E45" i="27"/>
  <c r="E48" i="27"/>
  <c r="E44" i="27"/>
  <c r="E21" i="27"/>
  <c r="D45" i="27"/>
  <c r="D46" i="27"/>
  <c r="D21" i="27"/>
  <c r="D48" i="27"/>
  <c r="D44" i="27"/>
  <c r="B26" i="21"/>
  <c r="E47" i="27"/>
  <c r="D47" i="27"/>
  <c r="E40" i="27"/>
  <c r="D40" i="27"/>
  <c r="J73" i="29"/>
  <c r="J93" i="29"/>
  <c r="C58" i="29"/>
  <c r="J58" i="29"/>
  <c r="E75" i="29"/>
  <c r="L75" i="29"/>
  <c r="C73" i="29"/>
  <c r="C93" i="29"/>
  <c r="B35" i="29"/>
  <c r="D54" i="29"/>
  <c r="B28" i="21"/>
  <c r="C28" i="21"/>
  <c r="G28" i="21"/>
  <c r="B16" i="21"/>
  <c r="C16" i="21"/>
  <c r="E21" i="46"/>
  <c r="G28" i="27"/>
  <c r="G27" i="27"/>
  <c r="E55" i="46"/>
  <c r="E60" i="46"/>
  <c r="G11" i="44"/>
  <c r="C45" i="27"/>
  <c r="C48" i="27"/>
  <c r="C46" i="27"/>
  <c r="C27" i="27"/>
  <c r="C47" i="27"/>
  <c r="C44" i="27"/>
  <c r="C21" i="27"/>
  <c r="A55" i="42"/>
  <c r="A57" i="40"/>
  <c r="A62" i="40"/>
  <c r="A59" i="40"/>
  <c r="H28" i="21"/>
  <c r="D45" i="21"/>
  <c r="G16" i="21"/>
  <c r="H16" i="21"/>
  <c r="J45" i="21"/>
  <c r="A56" i="40"/>
  <c r="A61" i="40"/>
  <c r="A64" i="40"/>
  <c r="A58" i="40"/>
  <c r="A63" i="40"/>
  <c r="K89" i="29"/>
  <c r="M12" i="21"/>
  <c r="G45" i="21"/>
  <c r="I89" i="29"/>
  <c r="G52" i="21"/>
  <c r="M10" i="21"/>
  <c r="M52" i="21"/>
  <c r="D10" i="21"/>
  <c r="B89" i="29"/>
  <c r="J12" i="21"/>
  <c r="F26" i="27"/>
  <c r="F20" i="27"/>
  <c r="G10" i="21"/>
  <c r="F22" i="27"/>
  <c r="B25" i="43"/>
  <c r="D12" i="21"/>
  <c r="D26" i="21"/>
  <c r="E26" i="21"/>
  <c r="L50" i="29"/>
  <c r="D89" i="29"/>
  <c r="J26" i="21"/>
  <c r="J52" i="21"/>
  <c r="D50" i="29"/>
  <c r="F10" i="43"/>
  <c r="F41" i="43"/>
  <c r="F28" i="27"/>
  <c r="B58" i="21"/>
  <c r="G22" i="27"/>
  <c r="G19" i="46"/>
  <c r="G20" i="46"/>
  <c r="G21" i="42"/>
  <c r="G42" i="42"/>
  <c r="F21" i="42"/>
  <c r="F42" i="42"/>
  <c r="E10" i="43"/>
  <c r="E41" i="43"/>
  <c r="C21" i="42"/>
  <c r="C42" i="42"/>
  <c r="G20" i="27"/>
  <c r="G26" i="27"/>
  <c r="C28" i="27"/>
  <c r="F12" i="43"/>
  <c r="F21" i="43"/>
  <c r="F55" i="46"/>
  <c r="F60" i="46"/>
  <c r="B47" i="21"/>
  <c r="B6" i="38"/>
  <c r="B8" i="38"/>
  <c r="B11" i="38"/>
  <c r="C50" i="27"/>
  <c r="B48" i="21"/>
  <c r="C30" i="27"/>
  <c r="C40" i="40"/>
  <c r="B18" i="38"/>
  <c r="C6" i="36"/>
  <c r="C5" i="36"/>
  <c r="C7" i="36"/>
  <c r="C21" i="36"/>
  <c r="C16" i="36"/>
  <c r="C27" i="36"/>
  <c r="C23" i="36"/>
  <c r="C19" i="36"/>
  <c r="C26" i="36"/>
  <c r="B35" i="21"/>
  <c r="C35" i="21"/>
  <c r="D35" i="21"/>
  <c r="E35" i="21"/>
  <c r="C22" i="27"/>
  <c r="D31" i="21"/>
  <c r="D22" i="27"/>
  <c r="G12" i="35"/>
  <c r="B26" i="43"/>
  <c r="C11" i="27"/>
  <c r="C20" i="27"/>
  <c r="C74" i="15"/>
  <c r="C26" i="27"/>
  <c r="C45" i="46"/>
  <c r="C28" i="42"/>
  <c r="B8" i="43"/>
  <c r="B27" i="43"/>
  <c r="B37" i="43"/>
  <c r="D26" i="27"/>
  <c r="D20" i="27"/>
  <c r="E22" i="27"/>
  <c r="C44" i="40"/>
  <c r="C41" i="40"/>
  <c r="E26" i="27"/>
  <c r="E20" i="27"/>
  <c r="G35" i="21"/>
  <c r="H35" i="21"/>
  <c r="B29" i="43"/>
  <c r="B30" i="75"/>
  <c r="B33" i="75"/>
  <c r="E33" i="75"/>
  <c r="B36" i="75"/>
  <c r="B123" i="86"/>
  <c r="B125" i="86"/>
  <c r="B126" i="86"/>
  <c r="B127" i="86"/>
  <c r="B12" i="84"/>
  <c r="B76" i="86"/>
  <c r="B78" i="86"/>
  <c r="B79" i="86"/>
  <c r="B80" i="86"/>
  <c r="G60" i="20"/>
  <c r="B177" i="86"/>
  <c r="B179" i="86"/>
  <c r="B180" i="86"/>
  <c r="B181" i="86"/>
  <c r="B185" i="86"/>
  <c r="F13" i="43"/>
  <c r="F14" i="43"/>
  <c r="F15" i="43"/>
  <c r="F22" i="43"/>
  <c r="F23" i="43"/>
  <c r="F38" i="43"/>
  <c r="F8" i="22"/>
  <c r="F52" i="15"/>
  <c r="E4" i="22"/>
  <c r="E11" i="22"/>
  <c r="F14" i="27"/>
  <c r="D17" i="22"/>
  <c r="E4" i="80"/>
  <c r="G31" i="80"/>
  <c r="E31" i="27"/>
  <c r="G16" i="37"/>
  <c r="H16" i="37"/>
  <c r="E60" i="20"/>
  <c r="E28" i="27"/>
  <c r="D8" i="22"/>
  <c r="D23" i="21"/>
  <c r="E23" i="21"/>
  <c r="G57" i="21"/>
  <c r="D39" i="22"/>
  <c r="K57" i="21"/>
  <c r="J57" i="21"/>
  <c r="E39" i="22"/>
  <c r="C57" i="31"/>
  <c r="D65" i="31"/>
  <c r="H66" i="31"/>
  <c r="H47" i="31"/>
  <c r="F47" i="31"/>
  <c r="E47" i="31"/>
  <c r="D47" i="31"/>
  <c r="G47" i="31"/>
  <c r="B21" i="35"/>
  <c r="E21" i="35"/>
  <c r="C32" i="43"/>
  <c r="C14" i="38"/>
  <c r="C15" i="38"/>
  <c r="D35" i="46"/>
  <c r="D37" i="46"/>
  <c r="D53" i="46"/>
  <c r="D18" i="46"/>
  <c r="D20" i="46"/>
  <c r="B15" i="69"/>
  <c r="B19" i="70"/>
  <c r="B23" i="70"/>
  <c r="C44" i="21"/>
  <c r="A57" i="42"/>
  <c r="C50" i="42"/>
  <c r="A60" i="42"/>
  <c r="A59" i="42"/>
  <c r="A58" i="42"/>
  <c r="A61" i="42"/>
  <c r="A56" i="42"/>
  <c r="D41" i="43"/>
  <c r="D12" i="43"/>
  <c r="E22" i="40"/>
  <c r="D14" i="38"/>
  <c r="D15" i="38"/>
  <c r="D32" i="43"/>
  <c r="C9" i="69"/>
  <c r="D7" i="44"/>
  <c r="D11" i="44"/>
  <c r="D21" i="43"/>
  <c r="G25" i="42"/>
  <c r="G44" i="42"/>
  <c r="G45" i="42"/>
  <c r="F22" i="35"/>
  <c r="G22" i="35"/>
  <c r="H22" i="35"/>
  <c r="I22" i="35"/>
  <c r="J22" i="35"/>
  <c r="K22" i="35"/>
  <c r="L22" i="35"/>
  <c r="G11" i="46"/>
  <c r="F12" i="22"/>
  <c r="F24" i="70"/>
  <c r="G23" i="40"/>
  <c r="G45" i="40"/>
  <c r="B89" i="86"/>
  <c r="B90" i="86"/>
  <c r="B95" i="86"/>
  <c r="B142" i="86"/>
  <c r="B146" i="86"/>
  <c r="F17" i="43"/>
  <c r="H19" i="35"/>
  <c r="G36" i="46"/>
  <c r="G37" i="46"/>
  <c r="G54" i="46"/>
  <c r="G55" i="46"/>
  <c r="C22" i="36"/>
  <c r="C30" i="36"/>
  <c r="C24" i="36"/>
  <c r="C31" i="36"/>
  <c r="C25" i="36"/>
  <c r="C20" i="36"/>
  <c r="G22" i="40"/>
  <c r="F32" i="43"/>
  <c r="K31" i="37"/>
  <c r="F14" i="38"/>
  <c r="F15" i="38"/>
  <c r="G13" i="21"/>
  <c r="J13" i="21"/>
  <c r="K13" i="21"/>
  <c r="AA11" i="80"/>
  <c r="R69" i="80"/>
  <c r="T68" i="80"/>
  <c r="C69" i="80"/>
  <c r="E68" i="80"/>
  <c r="C47" i="31"/>
  <c r="D22" i="40"/>
  <c r="C41" i="43"/>
  <c r="F9" i="69"/>
  <c r="F17" i="34"/>
  <c r="F29" i="34"/>
  <c r="F10" i="70"/>
  <c r="F30" i="70"/>
  <c r="F36" i="69"/>
  <c r="C25" i="67"/>
  <c r="C49" i="67"/>
  <c r="K19" i="21"/>
  <c r="G19" i="21"/>
  <c r="D36" i="22"/>
  <c r="J19" i="21"/>
  <c r="E36" i="22"/>
  <c r="E13" i="21"/>
  <c r="C45" i="22"/>
  <c r="C48" i="22"/>
  <c r="C24" i="69"/>
  <c r="C13" i="69"/>
  <c r="C21" i="40"/>
  <c r="C12" i="46"/>
  <c r="B24" i="35"/>
  <c r="F45" i="22"/>
  <c r="F48" i="22"/>
  <c r="N13" i="21"/>
  <c r="B87" i="86"/>
  <c r="G29" i="46"/>
  <c r="D29" i="46"/>
  <c r="C36" i="46"/>
  <c r="C37" i="46"/>
  <c r="C19" i="46"/>
  <c r="C20" i="46"/>
  <c r="C54" i="46"/>
  <c r="C55" i="46"/>
  <c r="F38" i="46"/>
  <c r="F21" i="46"/>
  <c r="F56" i="46"/>
  <c r="D11" i="21"/>
  <c r="E11" i="21"/>
  <c r="M16" i="21"/>
  <c r="N16" i="21"/>
  <c r="J16" i="21"/>
  <c r="K16" i="21"/>
  <c r="M35" i="21"/>
  <c r="N35" i="21"/>
  <c r="J35" i="21"/>
  <c r="K35" i="21"/>
  <c r="E69" i="67"/>
  <c r="C41" i="67"/>
  <c r="D66" i="67"/>
  <c r="C66" i="67"/>
  <c r="C61" i="67"/>
  <c r="C36" i="67"/>
  <c r="C32" i="67"/>
  <c r="C34" i="67"/>
  <c r="C44" i="67"/>
  <c r="C40" i="67"/>
  <c r="C38" i="67"/>
  <c r="D67" i="67"/>
  <c r="E67" i="67"/>
  <c r="E63" i="67"/>
  <c r="D20" i="67"/>
  <c r="F36" i="67"/>
  <c r="F32" i="67"/>
  <c r="F34" i="67"/>
  <c r="F40" i="67"/>
  <c r="F44" i="67"/>
  <c r="F38" i="67"/>
  <c r="F49" i="67"/>
  <c r="F66" i="67"/>
  <c r="E41" i="67"/>
  <c r="E36" i="67"/>
  <c r="E32" i="67"/>
  <c r="E34" i="67"/>
  <c r="E40" i="67"/>
  <c r="F61" i="67"/>
  <c r="E38" i="67"/>
  <c r="E49" i="67"/>
  <c r="J56" i="21"/>
  <c r="K56" i="21"/>
  <c r="M56" i="21"/>
  <c r="N56" i="21"/>
  <c r="J23" i="21"/>
  <c r="M23" i="21"/>
  <c r="N23" i="21"/>
  <c r="G27" i="21"/>
  <c r="K27" i="21"/>
  <c r="F55" i="22"/>
  <c r="N42" i="21"/>
  <c r="G42" i="21"/>
  <c r="D55" i="22"/>
  <c r="J42" i="21"/>
  <c r="G21" i="21"/>
  <c r="D32" i="22"/>
  <c r="J21" i="21"/>
  <c r="E32" i="22"/>
  <c r="J60" i="21"/>
  <c r="E37" i="22"/>
  <c r="E41" i="22"/>
  <c r="K21" i="21"/>
  <c r="D60" i="21"/>
  <c r="C37" i="22"/>
  <c r="G60" i="21"/>
  <c r="D37" i="22"/>
  <c r="D55" i="46"/>
  <c r="B41" i="22"/>
  <c r="C23" i="42"/>
  <c r="D28" i="21"/>
  <c r="E28" i="21"/>
  <c r="G12" i="21"/>
  <c r="E19" i="46"/>
  <c r="E20" i="46"/>
  <c r="F35" i="46"/>
  <c r="F37" i="46"/>
  <c r="D24" i="69"/>
  <c r="D26" i="69"/>
  <c r="D24" i="21"/>
  <c r="D50" i="21"/>
  <c r="E50" i="21"/>
  <c r="AM46" i="80"/>
  <c r="E19" i="38"/>
  <c r="D19" i="38"/>
  <c r="G30" i="37"/>
  <c r="G31" i="37"/>
  <c r="B27" i="67"/>
  <c r="B45" i="67"/>
  <c r="F36" i="29"/>
  <c r="F16" i="29"/>
  <c r="G21" i="35"/>
  <c r="G20" i="35"/>
  <c r="G25" i="35"/>
  <c r="K21" i="35"/>
  <c r="J21" i="35"/>
  <c r="I30" i="37"/>
  <c r="I31" i="37"/>
  <c r="E14" i="38"/>
  <c r="E15" i="38"/>
  <c r="D11" i="67"/>
  <c r="D32" i="67"/>
  <c r="D57" i="67"/>
  <c r="E57" i="67"/>
  <c r="J55" i="21"/>
  <c r="N55" i="21"/>
  <c r="N24" i="21"/>
  <c r="J24" i="21"/>
  <c r="G23" i="21"/>
  <c r="H23" i="21"/>
  <c r="K23" i="21"/>
  <c r="D27" i="21"/>
  <c r="E27" i="21"/>
  <c r="H42" i="21"/>
  <c r="D42" i="21"/>
  <c r="D33" i="21"/>
  <c r="C35" i="22"/>
  <c r="C41" i="22"/>
  <c r="G33" i="21"/>
  <c r="D35" i="22"/>
  <c r="E11" i="80"/>
  <c r="J42" i="80"/>
  <c r="L42" i="80"/>
  <c r="R43" i="80"/>
  <c r="G32" i="80"/>
  <c r="E16" i="80"/>
  <c r="X15" i="80"/>
  <c r="J65" i="80"/>
  <c r="L64" i="80"/>
  <c r="C43" i="80"/>
  <c r="E42" i="80"/>
  <c r="AE42" i="80"/>
  <c r="AC31" i="80"/>
  <c r="AK42" i="80"/>
  <c r="C80" i="80"/>
  <c r="E79" i="80"/>
  <c r="X80" i="80"/>
  <c r="Z79" i="80"/>
  <c r="J76" i="80"/>
  <c r="C75" i="80"/>
  <c r="E75" i="80"/>
  <c r="R75" i="80"/>
  <c r="T75" i="80"/>
  <c r="G36" i="21"/>
  <c r="D36" i="21"/>
  <c r="D16" i="21"/>
  <c r="E16" i="21"/>
  <c r="D50" i="67"/>
  <c r="AE35" i="80"/>
  <c r="C49" i="42"/>
  <c r="D52" i="21"/>
  <c r="B22" i="67"/>
  <c r="C23" i="34"/>
  <c r="AG46" i="80"/>
  <c r="J30" i="21"/>
  <c r="G30" i="21"/>
  <c r="H30" i="21"/>
  <c r="F14" i="69"/>
  <c r="F8" i="69"/>
  <c r="C69" i="67"/>
  <c r="B44" i="67"/>
  <c r="F20" i="67"/>
  <c r="F22" i="67"/>
  <c r="F47" i="67"/>
  <c r="F39" i="67"/>
  <c r="F68" i="67"/>
  <c r="E43" i="67"/>
  <c r="E20" i="67"/>
  <c r="E64" i="67"/>
  <c r="E39" i="67"/>
  <c r="G55" i="21"/>
  <c r="K55" i="21"/>
  <c r="D56" i="21"/>
  <c r="E56" i="21"/>
  <c r="K15" i="21"/>
  <c r="J15" i="21"/>
  <c r="E44" i="22"/>
  <c r="E48" i="22"/>
  <c r="G11" i="80"/>
  <c r="J44" i="80"/>
  <c r="L44" i="80"/>
  <c r="C45" i="80"/>
  <c r="Z8" i="80"/>
  <c r="R45" i="80"/>
  <c r="G34" i="80"/>
  <c r="D8" i="33"/>
  <c r="B140" i="86"/>
  <c r="B145" i="86"/>
  <c r="B147" i="86"/>
  <c r="C20" i="67"/>
  <c r="F43" i="67"/>
  <c r="C27" i="22"/>
  <c r="G36" i="80"/>
  <c r="J35" i="80"/>
  <c r="E44" i="80"/>
  <c r="Z46" i="80"/>
  <c r="X58" i="80"/>
  <c r="Z57" i="80"/>
  <c r="E9" i="21"/>
  <c r="B29" i="34"/>
  <c r="F26" i="69"/>
  <c r="F28" i="69"/>
  <c r="E13" i="69"/>
  <c r="E24" i="69"/>
  <c r="D68" i="67"/>
  <c r="C43" i="67"/>
  <c r="C64" i="67"/>
  <c r="C39" i="67"/>
  <c r="F75" i="67"/>
  <c r="E50" i="67"/>
  <c r="N27" i="21"/>
  <c r="J27" i="21"/>
  <c r="K25" i="21"/>
  <c r="G25" i="21"/>
  <c r="H55" i="21"/>
  <c r="D55" i="21"/>
  <c r="E55" i="21"/>
  <c r="N60" i="21"/>
  <c r="R47" i="80"/>
  <c r="T46" i="80"/>
  <c r="H11" i="80"/>
  <c r="J46" i="80"/>
  <c r="L46" i="80"/>
  <c r="J69" i="80"/>
  <c r="L68" i="80"/>
  <c r="C47" i="80"/>
  <c r="E46" i="80"/>
  <c r="AA16" i="80"/>
  <c r="E12" i="43"/>
  <c r="K9" i="21"/>
  <c r="K30" i="21"/>
  <c r="D17" i="69"/>
  <c r="D34" i="67"/>
  <c r="F50" i="67"/>
  <c r="J50" i="21"/>
  <c r="K50" i="21"/>
  <c r="K36" i="21"/>
  <c r="B58" i="22"/>
  <c r="B19" i="22"/>
  <c r="B11" i="22"/>
  <c r="AK57" i="80"/>
  <c r="AM57" i="80"/>
  <c r="AM79" i="80"/>
  <c r="B49" i="40"/>
  <c r="D74" i="84"/>
  <c r="D76" i="84"/>
  <c r="B12" i="43"/>
  <c r="C7" i="44"/>
  <c r="C11" i="44"/>
  <c r="B14" i="84"/>
  <c r="B80" i="84"/>
  <c r="B15" i="84"/>
  <c r="B81" i="84"/>
  <c r="C81" i="84"/>
  <c r="D81" i="84"/>
  <c r="F33" i="43"/>
  <c r="F34" i="43"/>
  <c r="F35" i="43"/>
  <c r="B149" i="86"/>
  <c r="G14" i="27"/>
  <c r="G52" i="15"/>
  <c r="F4" i="22"/>
  <c r="F11" i="22"/>
  <c r="I47" i="21"/>
  <c r="E16" i="38"/>
  <c r="AK53" i="80"/>
  <c r="AM53" i="80"/>
  <c r="J31" i="80"/>
  <c r="R20" i="80"/>
  <c r="E9" i="80"/>
  <c r="E52" i="15"/>
  <c r="D4" i="22"/>
  <c r="D11" i="22"/>
  <c r="E14" i="27"/>
  <c r="G26" i="35"/>
  <c r="G27" i="35"/>
  <c r="B11" i="35"/>
  <c r="G29" i="35"/>
  <c r="D23" i="42"/>
  <c r="D21" i="40"/>
  <c r="D12" i="46"/>
  <c r="C15" i="22"/>
  <c r="C24" i="35"/>
  <c r="E24" i="35"/>
  <c r="E15" i="22"/>
  <c r="E26" i="70"/>
  <c r="F21" i="40"/>
  <c r="F23" i="42"/>
  <c r="F12" i="46"/>
  <c r="F70" i="67"/>
  <c r="E27" i="67"/>
  <c r="E45" i="67"/>
  <c r="F32" i="69"/>
  <c r="F15" i="69"/>
  <c r="F17" i="69"/>
  <c r="F27" i="34"/>
  <c r="H36" i="21"/>
  <c r="D60" i="46"/>
  <c r="F15" i="22"/>
  <c r="F26" i="70"/>
  <c r="G23" i="42"/>
  <c r="G12" i="46"/>
  <c r="F24" i="35"/>
  <c r="F25" i="35"/>
  <c r="F27" i="35"/>
  <c r="G21" i="40"/>
  <c r="C15" i="69"/>
  <c r="C17" i="69"/>
  <c r="D75" i="67"/>
  <c r="C50" i="67"/>
  <c r="C75" i="67"/>
  <c r="E15" i="69"/>
  <c r="E17" i="69"/>
  <c r="C15" i="34"/>
  <c r="C25" i="34"/>
  <c r="E42" i="21"/>
  <c r="C55" i="22"/>
  <c r="D27" i="67"/>
  <c r="D36" i="67"/>
  <c r="D41" i="67"/>
  <c r="E61" i="67"/>
  <c r="D39" i="67"/>
  <c r="D43" i="67"/>
  <c r="D22" i="67"/>
  <c r="D40" i="67"/>
  <c r="D49" i="67"/>
  <c r="D35" i="67"/>
  <c r="D61" i="67"/>
  <c r="D33" i="67"/>
  <c r="D42" i="67"/>
  <c r="F18" i="29"/>
  <c r="F11" i="29"/>
  <c r="C23" i="40"/>
  <c r="C45" i="40"/>
  <c r="C46" i="40"/>
  <c r="C42" i="40"/>
  <c r="C43" i="40"/>
  <c r="C47" i="40"/>
  <c r="B12" i="22"/>
  <c r="C25" i="42"/>
  <c r="C44" i="42"/>
  <c r="C45" i="42"/>
  <c r="B24" i="70"/>
  <c r="C11" i="46"/>
  <c r="B22" i="35"/>
  <c r="B25" i="35"/>
  <c r="B27" i="35"/>
  <c r="D45" i="22"/>
  <c r="D48" i="22"/>
  <c r="H13" i="21"/>
  <c r="G60" i="46"/>
  <c r="D13" i="43"/>
  <c r="D14" i="43"/>
  <c r="G6" i="44"/>
  <c r="F40" i="43"/>
  <c r="F42" i="43"/>
  <c r="E31" i="70"/>
  <c r="E37" i="69"/>
  <c r="D27" i="34"/>
  <c r="E39" i="69"/>
  <c r="E36" i="69"/>
  <c r="E26" i="69"/>
  <c r="E10" i="70"/>
  <c r="E30" i="70"/>
  <c r="C22" i="67"/>
  <c r="C72" i="67"/>
  <c r="B47" i="67"/>
  <c r="C12" i="22"/>
  <c r="D11" i="46"/>
  <c r="D25" i="42"/>
  <c r="D44" i="42"/>
  <c r="D45" i="42"/>
  <c r="D23" i="40"/>
  <c r="D45" i="40"/>
  <c r="C22" i="35"/>
  <c r="B52" i="67"/>
  <c r="E55" i="22"/>
  <c r="K42" i="21"/>
  <c r="C57" i="46"/>
  <c r="C22" i="46"/>
  <c r="C39" i="46"/>
  <c r="H20" i="35"/>
  <c r="H25" i="35"/>
  <c r="I19" i="35"/>
  <c r="C80" i="84"/>
  <c r="B27" i="70"/>
  <c r="D38" i="67"/>
  <c r="C26" i="40"/>
  <c r="B17" i="84"/>
  <c r="B84" i="84"/>
  <c r="F45" i="67"/>
  <c r="F27" i="67"/>
  <c r="F52" i="67"/>
  <c r="F38" i="29"/>
  <c r="F39" i="29"/>
  <c r="E12" i="22"/>
  <c r="F11" i="46"/>
  <c r="F23" i="40"/>
  <c r="F45" i="40"/>
  <c r="E22" i="35"/>
  <c r="F25" i="42"/>
  <c r="F44" i="42"/>
  <c r="F45" i="42"/>
  <c r="E70" i="67"/>
  <c r="D45" i="67"/>
  <c r="D86" i="31"/>
  <c r="F86" i="31"/>
  <c r="G86" i="31"/>
  <c r="E86" i="31"/>
  <c r="D70" i="67"/>
  <c r="C27" i="67"/>
  <c r="C45" i="67"/>
  <c r="E36" i="21"/>
  <c r="D36" i="69"/>
  <c r="D10" i="70"/>
  <c r="D30" i="70"/>
  <c r="E13" i="43"/>
  <c r="E14" i="43"/>
  <c r="C67" i="80"/>
  <c r="E66" i="80"/>
  <c r="Z11" i="80"/>
  <c r="R67" i="80"/>
  <c r="T66" i="80"/>
  <c r="C60" i="46"/>
  <c r="C36" i="69"/>
  <c r="C26" i="69"/>
  <c r="C10" i="70"/>
  <c r="C30" i="70"/>
  <c r="G58" i="46"/>
  <c r="G40" i="46"/>
  <c r="G23" i="46"/>
  <c r="D44" i="21"/>
  <c r="F29" i="69"/>
  <c r="D28" i="69"/>
  <c r="D29" i="69"/>
  <c r="E22" i="67"/>
  <c r="C70" i="67"/>
  <c r="D44" i="67"/>
  <c r="B16" i="22"/>
  <c r="B13" i="43"/>
  <c r="B14" i="43"/>
  <c r="D41" i="22"/>
  <c r="C79" i="84"/>
  <c r="D79" i="84"/>
  <c r="B17" i="69"/>
  <c r="L47" i="21"/>
  <c r="M47" i="21"/>
  <c r="N47" i="21"/>
  <c r="F16" i="38"/>
  <c r="F20" i="40"/>
  <c r="F40" i="40"/>
  <c r="F5" i="36"/>
  <c r="E18" i="38"/>
  <c r="F6" i="36"/>
  <c r="X75" i="80"/>
  <c r="Z75" i="80"/>
  <c r="AE76" i="80"/>
  <c r="AG75" i="80"/>
  <c r="J75" i="80"/>
  <c r="L75" i="80"/>
  <c r="R42" i="80"/>
  <c r="T42" i="80"/>
  <c r="F47" i="21"/>
  <c r="J47" i="21"/>
  <c r="K47" i="21"/>
  <c r="D16" i="38"/>
  <c r="B15" i="43"/>
  <c r="B34" i="43"/>
  <c r="E15" i="43"/>
  <c r="E34" i="43"/>
  <c r="D15" i="43"/>
  <c r="D34" i="43"/>
  <c r="E27" i="34"/>
  <c r="F31" i="70"/>
  <c r="F37" i="69"/>
  <c r="F39" i="69"/>
  <c r="E58" i="29"/>
  <c r="L93" i="29"/>
  <c r="F19" i="29"/>
  <c r="E60" i="29"/>
  <c r="E93" i="29"/>
  <c r="L60" i="29"/>
  <c r="L58" i="29"/>
  <c r="C84" i="84"/>
  <c r="B86" i="84"/>
  <c r="C7" i="69"/>
  <c r="C28" i="69"/>
  <c r="C17" i="34"/>
  <c r="C29" i="34"/>
  <c r="F77" i="67"/>
  <c r="E52" i="67"/>
  <c r="D39" i="46"/>
  <c r="D57" i="46"/>
  <c r="D22" i="46"/>
  <c r="D23" i="46"/>
  <c r="D24" i="46"/>
  <c r="E44" i="21"/>
  <c r="C57" i="22"/>
  <c r="F40" i="46"/>
  <c r="F23" i="46"/>
  <c r="F58" i="46"/>
  <c r="E12" i="46"/>
  <c r="D15" i="22"/>
  <c r="E21" i="40"/>
  <c r="D24" i="35"/>
  <c r="D22" i="35"/>
  <c r="D25" i="35"/>
  <c r="D27" i="35"/>
  <c r="D29" i="35"/>
  <c r="E23" i="42"/>
  <c r="C61" i="42"/>
  <c r="C60" i="42"/>
  <c r="C59" i="42"/>
  <c r="C57" i="42"/>
  <c r="C52" i="42"/>
  <c r="C56" i="42"/>
  <c r="C55" i="42"/>
  <c r="C58" i="42"/>
  <c r="D31" i="70"/>
  <c r="D37" i="69"/>
  <c r="C27" i="34"/>
  <c r="C26" i="70"/>
  <c r="B90" i="29"/>
  <c r="I90" i="29"/>
  <c r="E47" i="67"/>
  <c r="F72" i="67"/>
  <c r="D77" i="67"/>
  <c r="C52" i="67"/>
  <c r="D80" i="84"/>
  <c r="C24" i="70"/>
  <c r="B88" i="29"/>
  <c r="I88" i="29"/>
  <c r="E28" i="69"/>
  <c r="E29" i="69"/>
  <c r="F13" i="29"/>
  <c r="F20" i="29"/>
  <c r="F28" i="29"/>
  <c r="E72" i="67"/>
  <c r="D47" i="67"/>
  <c r="G57" i="46"/>
  <c r="G59" i="46"/>
  <c r="G62" i="46"/>
  <c r="G22" i="46"/>
  <c r="G24" i="46"/>
  <c r="G39" i="46"/>
  <c r="G41" i="46"/>
  <c r="F57" i="46"/>
  <c r="F39" i="46"/>
  <c r="F41" i="46"/>
  <c r="F22" i="46"/>
  <c r="F24" i="46"/>
  <c r="C29" i="69"/>
  <c r="E25" i="35"/>
  <c r="E27" i="35"/>
  <c r="E29" i="35"/>
  <c r="C25" i="35"/>
  <c r="C27" i="35"/>
  <c r="C29" i="35"/>
  <c r="C30" i="35"/>
  <c r="C31" i="70"/>
  <c r="C37" i="69"/>
  <c r="B27" i="34"/>
  <c r="B23" i="22"/>
  <c r="C85" i="31"/>
  <c r="E24" i="70"/>
  <c r="E16" i="22"/>
  <c r="J19" i="35"/>
  <c r="I20" i="35"/>
  <c r="I25" i="35"/>
  <c r="D52" i="67"/>
  <c r="E77" i="67"/>
  <c r="D33" i="69"/>
  <c r="D31" i="69"/>
  <c r="D12" i="22"/>
  <c r="E25" i="42"/>
  <c r="E44" i="42"/>
  <c r="E45" i="42"/>
  <c r="E23" i="40"/>
  <c r="E45" i="40"/>
  <c r="E11" i="46"/>
  <c r="F33" i="69"/>
  <c r="F31" i="69"/>
  <c r="C47" i="67"/>
  <c r="D72" i="67"/>
  <c r="I83" i="29"/>
  <c r="I87" i="29"/>
  <c r="I91" i="29"/>
  <c r="B83" i="29"/>
  <c r="B87" i="29"/>
  <c r="B91" i="29"/>
  <c r="H26" i="35"/>
  <c r="H27" i="35"/>
  <c r="H29" i="35"/>
  <c r="D58" i="46"/>
  <c r="D40" i="46"/>
  <c r="G12" i="44"/>
  <c r="G13" i="44"/>
  <c r="C58" i="46"/>
  <c r="C59" i="46"/>
  <c r="C62" i="46"/>
  <c r="C64" i="46"/>
  <c r="C23" i="46"/>
  <c r="C24" i="46"/>
  <c r="C40" i="46"/>
  <c r="C41" i="46"/>
  <c r="C61" i="40"/>
  <c r="C63" i="40"/>
  <c r="C60" i="40"/>
  <c r="C58" i="40"/>
  <c r="C64" i="40"/>
  <c r="C59" i="40"/>
  <c r="C56" i="40"/>
  <c r="C52" i="40"/>
  <c r="C62" i="40"/>
  <c r="C57" i="40"/>
  <c r="C39" i="69"/>
  <c r="F16" i="22"/>
  <c r="D39" i="69"/>
  <c r="C77" i="67"/>
  <c r="C58" i="22"/>
  <c r="C19" i="22"/>
  <c r="F29" i="35"/>
  <c r="G5" i="36"/>
  <c r="F18" i="38"/>
  <c r="G6" i="36"/>
  <c r="G20" i="40"/>
  <c r="G40" i="40"/>
  <c r="G14" i="44"/>
  <c r="F7" i="36"/>
  <c r="D18" i="38"/>
  <c r="E6" i="36"/>
  <c r="E20" i="40"/>
  <c r="E40" i="40"/>
  <c r="E5" i="36"/>
  <c r="F11" i="70"/>
  <c r="F34" i="69"/>
  <c r="F38" i="69"/>
  <c r="D24" i="70"/>
  <c r="D88" i="29"/>
  <c r="K88" i="29"/>
  <c r="D16" i="22"/>
  <c r="C115" i="31"/>
  <c r="C103" i="31"/>
  <c r="D22" i="43"/>
  <c r="D23" i="43"/>
  <c r="D17" i="43"/>
  <c r="K19" i="35"/>
  <c r="J20" i="35"/>
  <c r="J25" i="35"/>
  <c r="C31" i="69"/>
  <c r="C33" i="69"/>
  <c r="E57" i="46"/>
  <c r="E39" i="46"/>
  <c r="E22" i="46"/>
  <c r="E23" i="46"/>
  <c r="E24" i="46"/>
  <c r="I26" i="35"/>
  <c r="I27" i="35"/>
  <c r="I29" i="35"/>
  <c r="B29" i="22"/>
  <c r="C45" i="31"/>
  <c r="D26" i="70"/>
  <c r="D90" i="29"/>
  <c r="K90" i="29"/>
  <c r="C86" i="84"/>
  <c r="D86" i="84"/>
  <c r="D84" i="84"/>
  <c r="E22" i="43"/>
  <c r="E23" i="43"/>
  <c r="E17" i="43"/>
  <c r="D30" i="35"/>
  <c r="E30" i="35"/>
  <c r="F30" i="35"/>
  <c r="G30" i="35"/>
  <c r="H30" i="35"/>
  <c r="F59" i="46"/>
  <c r="F62" i="46"/>
  <c r="D41" i="46"/>
  <c r="D51" i="29"/>
  <c r="L51" i="29"/>
  <c r="B22" i="43"/>
  <c r="B17" i="43"/>
  <c r="B30" i="43"/>
  <c r="D11" i="70"/>
  <c r="D34" i="69"/>
  <c r="D38" i="69"/>
  <c r="E31" i="69"/>
  <c r="E33" i="69"/>
  <c r="E40" i="46"/>
  <c r="E58" i="46"/>
  <c r="D66" i="15"/>
  <c r="Z5" i="80"/>
  <c r="C54" i="21"/>
  <c r="C29" i="75"/>
  <c r="C30" i="75"/>
  <c r="D84" i="31"/>
  <c r="D59" i="46"/>
  <c r="D62" i="46"/>
  <c r="G7" i="36"/>
  <c r="E7" i="36"/>
  <c r="A51" i="29"/>
  <c r="D52" i="29"/>
  <c r="D15" i="70"/>
  <c r="D19" i="70"/>
  <c r="D23" i="70"/>
  <c r="D27" i="70"/>
  <c r="I51" i="29"/>
  <c r="L52" i="29"/>
  <c r="C11" i="70"/>
  <c r="C34" i="69"/>
  <c r="C38" i="69"/>
  <c r="G8" i="80"/>
  <c r="D12" i="27"/>
  <c r="C58" i="21"/>
  <c r="D58" i="21"/>
  <c r="E58" i="21"/>
  <c r="D6" i="27"/>
  <c r="D11" i="27"/>
  <c r="C26" i="43"/>
  <c r="D7" i="27"/>
  <c r="C25" i="43"/>
  <c r="B33" i="43"/>
  <c r="B35" i="43"/>
  <c r="B23" i="43"/>
  <c r="B38" i="43"/>
  <c r="L19" i="35"/>
  <c r="L20" i="35"/>
  <c r="L25" i="35"/>
  <c r="K20" i="35"/>
  <c r="K25" i="35"/>
  <c r="F19" i="70"/>
  <c r="F23" i="70"/>
  <c r="F27" i="70"/>
  <c r="F15" i="70"/>
  <c r="E59" i="46"/>
  <c r="E62" i="46"/>
  <c r="C116" i="31"/>
  <c r="C117" i="31"/>
  <c r="D102" i="31"/>
  <c r="D54" i="21"/>
  <c r="E11" i="70"/>
  <c r="E34" i="69"/>
  <c r="E38" i="69"/>
  <c r="AE55" i="80"/>
  <c r="X55" i="80"/>
  <c r="E38" i="43"/>
  <c r="E33" i="43"/>
  <c r="E35" i="43"/>
  <c r="F54" i="21"/>
  <c r="X5" i="80"/>
  <c r="D29" i="75"/>
  <c r="D30" i="75"/>
  <c r="E66" i="15"/>
  <c r="E13" i="27"/>
  <c r="C56" i="27"/>
  <c r="J26" i="35"/>
  <c r="J27" i="35"/>
  <c r="J29" i="35"/>
  <c r="D33" i="43"/>
  <c r="D35" i="43"/>
  <c r="D38" i="43"/>
  <c r="F84" i="31"/>
  <c r="I30" i="35"/>
  <c r="E41" i="46"/>
  <c r="E8" i="80"/>
  <c r="F58" i="21"/>
  <c r="G58" i="21"/>
  <c r="H58" i="21"/>
  <c r="E7" i="27"/>
  <c r="E12" i="27"/>
  <c r="D26" i="43"/>
  <c r="D30" i="43"/>
  <c r="E6" i="27"/>
  <c r="D25" i="43"/>
  <c r="E11" i="27"/>
  <c r="B40" i="43"/>
  <c r="B42" i="43"/>
  <c r="C6" i="44"/>
  <c r="G54" i="21"/>
  <c r="K26" i="35"/>
  <c r="K27" i="35"/>
  <c r="K29" i="35"/>
  <c r="E6" i="44"/>
  <c r="D40" i="43"/>
  <c r="D42" i="43"/>
  <c r="AE53" i="80"/>
  <c r="X53" i="80"/>
  <c r="C51" i="22"/>
  <c r="C52" i="22"/>
  <c r="C18" i="22"/>
  <c r="E54" i="21"/>
  <c r="E29" i="75"/>
  <c r="E30" i="75"/>
  <c r="F66" i="15"/>
  <c r="I54" i="21"/>
  <c r="D56" i="27"/>
  <c r="F13" i="27"/>
  <c r="L53" i="29"/>
  <c r="L55" i="29"/>
  <c r="D55" i="29"/>
  <c r="D53" i="29"/>
  <c r="J30" i="35"/>
  <c r="C120" i="31"/>
  <c r="G84" i="31"/>
  <c r="C122" i="31"/>
  <c r="F102" i="31"/>
  <c r="G102" i="31"/>
  <c r="E15" i="70"/>
  <c r="E19" i="70"/>
  <c r="E23" i="70"/>
  <c r="E27" i="70"/>
  <c r="E28" i="70"/>
  <c r="E32" i="70"/>
  <c r="L26" i="35"/>
  <c r="L27" i="35"/>
  <c r="D9" i="46"/>
  <c r="D28" i="42"/>
  <c r="D49" i="42"/>
  <c r="D24" i="40"/>
  <c r="C8" i="43"/>
  <c r="F6" i="44"/>
  <c r="E40" i="43"/>
  <c r="E42" i="43"/>
  <c r="C27" i="43"/>
  <c r="C29" i="43"/>
  <c r="J56" i="80"/>
  <c r="L55" i="80"/>
  <c r="G14" i="80"/>
  <c r="AE45" i="80"/>
  <c r="AG44" i="80"/>
  <c r="C56" i="80"/>
  <c r="E55" i="80"/>
  <c r="C15" i="70"/>
  <c r="C19" i="70"/>
  <c r="C23" i="70"/>
  <c r="C27" i="70"/>
  <c r="C28" i="70"/>
  <c r="C32" i="70"/>
  <c r="D41" i="40"/>
  <c r="D44" i="40"/>
  <c r="D46" i="40"/>
  <c r="C13" i="44"/>
  <c r="C12" i="44"/>
  <c r="D27" i="43"/>
  <c r="D29" i="43"/>
  <c r="D45" i="46"/>
  <c r="D63" i="46"/>
  <c r="D64" i="46"/>
  <c r="E12" i="44"/>
  <c r="E13" i="44"/>
  <c r="D51" i="22"/>
  <c r="D52" i="22"/>
  <c r="D18" i="22"/>
  <c r="H54" i="21"/>
  <c r="E9" i="46"/>
  <c r="E28" i="42"/>
  <c r="E49" i="42"/>
  <c r="D8" i="43"/>
  <c r="E24" i="40"/>
  <c r="C54" i="80"/>
  <c r="E53" i="80"/>
  <c r="J54" i="80"/>
  <c r="L53" i="80"/>
  <c r="E14" i="80"/>
  <c r="AE43" i="80"/>
  <c r="AG42" i="80"/>
  <c r="D28" i="70"/>
  <c r="D32" i="70"/>
  <c r="F12" i="44"/>
  <c r="F13" i="44"/>
  <c r="F14" i="44"/>
  <c r="C74" i="29"/>
  <c r="D56" i="29"/>
  <c r="G58" i="29"/>
  <c r="J54" i="21"/>
  <c r="M27" i="35"/>
  <c r="M29" i="35"/>
  <c r="L29" i="35"/>
  <c r="G66" i="15"/>
  <c r="E56" i="27"/>
  <c r="G13" i="27"/>
  <c r="L54" i="21"/>
  <c r="M54" i="21"/>
  <c r="F51" i="22"/>
  <c r="F52" i="22"/>
  <c r="F18" i="22"/>
  <c r="D56" i="42"/>
  <c r="D55" i="42"/>
  <c r="D52" i="42"/>
  <c r="D61" i="42"/>
  <c r="D58" i="42"/>
  <c r="D59" i="42"/>
  <c r="D60" i="42"/>
  <c r="D57" i="42"/>
  <c r="L56" i="29"/>
  <c r="N58" i="29"/>
  <c r="K83" i="29"/>
  <c r="J74" i="29"/>
  <c r="L77" i="29"/>
  <c r="I58" i="21"/>
  <c r="J58" i="21"/>
  <c r="K58" i="21"/>
  <c r="F12" i="27"/>
  <c r="E26" i="43"/>
  <c r="E30" i="43"/>
  <c r="F6" i="27"/>
  <c r="E25" i="43"/>
  <c r="F7" i="27"/>
  <c r="F11" i="27"/>
  <c r="K30" i="35"/>
  <c r="F28" i="70"/>
  <c r="F32" i="70"/>
  <c r="C37" i="43"/>
  <c r="E60" i="42"/>
  <c r="E52" i="42"/>
  <c r="E59" i="42"/>
  <c r="E61" i="42"/>
  <c r="E58" i="42"/>
  <c r="E56" i="42"/>
  <c r="E57" i="42"/>
  <c r="E55" i="42"/>
  <c r="E8" i="43"/>
  <c r="F24" i="40"/>
  <c r="F28" i="42"/>
  <c r="F49" i="42"/>
  <c r="F9" i="46"/>
  <c r="L58" i="21"/>
  <c r="M58" i="21"/>
  <c r="N58" i="21"/>
  <c r="F26" i="43"/>
  <c r="F30" i="43"/>
  <c r="G6" i="27"/>
  <c r="F25" i="43"/>
  <c r="G12" i="27"/>
  <c r="G7" i="27"/>
  <c r="G11" i="27"/>
  <c r="E51" i="22"/>
  <c r="E52" i="22"/>
  <c r="E18" i="22"/>
  <c r="K54" i="21"/>
  <c r="E44" i="40"/>
  <c r="E46" i="40"/>
  <c r="E41" i="40"/>
  <c r="E26" i="40"/>
  <c r="C14" i="44"/>
  <c r="D83" i="29"/>
  <c r="E77" i="29"/>
  <c r="E27" i="43"/>
  <c r="E29" i="43"/>
  <c r="K87" i="29"/>
  <c r="L83" i="29"/>
  <c r="E45" i="46"/>
  <c r="E63" i="46"/>
  <c r="E64" i="46"/>
  <c r="L30" i="35"/>
  <c r="M30" i="35"/>
  <c r="M31" i="35"/>
  <c r="N54" i="21"/>
  <c r="E14" i="44"/>
  <c r="D37" i="43"/>
  <c r="E37" i="43"/>
  <c r="E42" i="40"/>
  <c r="E43" i="40"/>
  <c r="E47" i="40"/>
  <c r="G11" i="35"/>
  <c r="M33" i="35"/>
  <c r="E83" i="29"/>
  <c r="D87" i="29"/>
  <c r="F27" i="43"/>
  <c r="F29" i="43"/>
  <c r="F41" i="40"/>
  <c r="F44" i="40"/>
  <c r="F46" i="40"/>
  <c r="F26" i="40"/>
  <c r="F63" i="46"/>
  <c r="F64" i="46"/>
  <c r="F45" i="46"/>
  <c r="B195" i="86"/>
  <c r="B198" i="86"/>
  <c r="B203" i="86"/>
  <c r="B204" i="86"/>
  <c r="B105" i="86"/>
  <c r="B108" i="86"/>
  <c r="B113" i="86"/>
  <c r="B114" i="86"/>
  <c r="B226" i="86"/>
  <c r="B229" i="86"/>
  <c r="B234" i="86"/>
  <c r="B235" i="86"/>
  <c r="B159" i="86"/>
  <c r="B162" i="86"/>
  <c r="B167" i="86"/>
  <c r="B168" i="86"/>
  <c r="B58" i="86"/>
  <c r="B61" i="86"/>
  <c r="B66" i="86"/>
  <c r="B67" i="86"/>
  <c r="K91" i="29"/>
  <c r="L91" i="29"/>
  <c r="N93" i="29"/>
  <c r="L87" i="29"/>
  <c r="G28" i="42"/>
  <c r="G49" i="42"/>
  <c r="F8" i="43"/>
  <c r="G9" i="46"/>
  <c r="G24" i="40"/>
  <c r="F59" i="42"/>
  <c r="F61" i="42"/>
  <c r="F52" i="42"/>
  <c r="F56" i="42"/>
  <c r="F58" i="42"/>
  <c r="F60" i="42"/>
  <c r="F55" i="42"/>
  <c r="F57" i="42"/>
  <c r="F37" i="43"/>
  <c r="G41" i="40"/>
  <c r="G44" i="40"/>
  <c r="G46" i="40"/>
  <c r="G26" i="40"/>
  <c r="M34" i="35"/>
  <c r="G14" i="35"/>
  <c r="G13" i="35"/>
  <c r="E87" i="29"/>
  <c r="D91" i="29"/>
  <c r="E91" i="29"/>
  <c r="G93" i="29"/>
  <c r="F42" i="40"/>
  <c r="F43" i="40"/>
  <c r="F47" i="40"/>
  <c r="E63" i="40"/>
  <c r="E59" i="40"/>
  <c r="E64" i="40"/>
  <c r="E60" i="40"/>
  <c r="E56" i="40"/>
  <c r="E62" i="40"/>
  <c r="E61" i="40"/>
  <c r="E52" i="40"/>
  <c r="E57" i="40"/>
  <c r="E58" i="40"/>
  <c r="G56" i="42"/>
  <c r="G59" i="42"/>
  <c r="G55" i="42"/>
  <c r="G52" i="42"/>
  <c r="G61" i="42"/>
  <c r="G60" i="42"/>
  <c r="G58" i="42"/>
  <c r="G57" i="42"/>
  <c r="G63" i="46"/>
  <c r="G64" i="46"/>
  <c r="G45" i="46"/>
  <c r="F63" i="40"/>
  <c r="F60" i="40"/>
  <c r="F56" i="40"/>
  <c r="F58" i="40"/>
  <c r="F64" i="40"/>
  <c r="F62" i="40"/>
  <c r="F52" i="40"/>
  <c r="F61" i="40"/>
  <c r="F59" i="40"/>
  <c r="F57" i="40"/>
  <c r="G42" i="40"/>
  <c r="G43" i="40"/>
  <c r="G47" i="40"/>
  <c r="G64" i="40"/>
  <c r="G56" i="40"/>
  <c r="G57" i="40"/>
  <c r="G58" i="40"/>
  <c r="G52" i="40"/>
  <c r="G61" i="40"/>
  <c r="G60" i="40"/>
  <c r="G59" i="40"/>
  <c r="G62" i="40"/>
  <c r="G63" i="40"/>
  <c r="D13" i="27"/>
  <c r="C32" i="75"/>
  <c r="C33" i="75"/>
  <c r="C11" i="43"/>
  <c r="C21" i="43"/>
  <c r="C12" i="43"/>
  <c r="C13" i="43"/>
  <c r="C14" i="43"/>
  <c r="Z7" i="80"/>
  <c r="AK56" i="80"/>
  <c r="D50" i="20"/>
  <c r="C8" i="22"/>
  <c r="D56" i="20"/>
  <c r="G4" i="80"/>
  <c r="R22" i="80"/>
  <c r="C17" i="22"/>
  <c r="G33" i="80"/>
  <c r="J33" i="80"/>
  <c r="C34" i="43"/>
  <c r="C15" i="43"/>
  <c r="D28" i="27"/>
  <c r="D60" i="20"/>
  <c r="D14" i="27"/>
  <c r="AK55" i="80"/>
  <c r="AM55" i="80"/>
  <c r="D31" i="27"/>
  <c r="E16" i="37"/>
  <c r="F16" i="37"/>
  <c r="C22" i="43"/>
  <c r="C30" i="43"/>
  <c r="C17" i="43"/>
  <c r="G9" i="80"/>
  <c r="D52" i="15"/>
  <c r="D53" i="15"/>
  <c r="C4" i="22"/>
  <c r="C11" i="22"/>
  <c r="C16" i="22"/>
  <c r="C23" i="22"/>
  <c r="C33" i="43"/>
  <c r="C35" i="43"/>
  <c r="C23" i="43"/>
  <c r="C38" i="43"/>
  <c r="J77" i="80"/>
  <c r="L77" i="80"/>
  <c r="R44" i="80"/>
  <c r="T44" i="80"/>
  <c r="X77" i="80"/>
  <c r="Z77" i="80"/>
  <c r="E49" i="15"/>
  <c r="E84" i="31"/>
  <c r="C47" i="21"/>
  <c r="G47" i="21"/>
  <c r="H47" i="21"/>
  <c r="C16" i="38"/>
  <c r="D20" i="40"/>
  <c r="D45" i="31"/>
  <c r="C29" i="22"/>
  <c r="D50" i="27"/>
  <c r="G5" i="80"/>
  <c r="C35" i="75"/>
  <c r="C36" i="75"/>
  <c r="Z6" i="80"/>
  <c r="D57" i="27"/>
  <c r="D71" i="15"/>
  <c r="D16" i="27"/>
  <c r="C48" i="21"/>
  <c r="D48" i="21"/>
  <c r="E48" i="21"/>
  <c r="C6" i="38"/>
  <c r="C8" i="38"/>
  <c r="C11" i="38"/>
  <c r="D30" i="27"/>
  <c r="D6" i="44"/>
  <c r="C40" i="43"/>
  <c r="C42" i="43"/>
  <c r="E102" i="31"/>
  <c r="H103" i="31"/>
  <c r="C118" i="31"/>
  <c r="C119" i="31"/>
  <c r="C121" i="31"/>
  <c r="C123" i="31"/>
  <c r="H85" i="31"/>
  <c r="F49" i="15"/>
  <c r="E53" i="15"/>
  <c r="F44" i="21"/>
  <c r="C18" i="38"/>
  <c r="D6" i="36"/>
  <c r="D47" i="21"/>
  <c r="E47" i="21"/>
  <c r="D5" i="36"/>
  <c r="G44" i="21"/>
  <c r="D13" i="44"/>
  <c r="D12" i="44"/>
  <c r="D14" i="44"/>
  <c r="AE56" i="80"/>
  <c r="AG55" i="80"/>
  <c r="X56" i="80"/>
  <c r="Z55" i="80"/>
  <c r="D40" i="40"/>
  <c r="D42" i="40"/>
  <c r="D43" i="40"/>
  <c r="D26" i="40"/>
  <c r="I44" i="21"/>
  <c r="F53" i="15"/>
  <c r="G49" i="15"/>
  <c r="E10" i="37"/>
  <c r="F10" i="37"/>
  <c r="E22" i="37"/>
  <c r="F22" i="37"/>
  <c r="G22" i="37"/>
  <c r="H22" i="37"/>
  <c r="E13" i="37"/>
  <c r="F13" i="37"/>
  <c r="D7" i="36"/>
  <c r="E50" i="27"/>
  <c r="E71" i="15"/>
  <c r="D6" i="38"/>
  <c r="D8" i="38"/>
  <c r="D11" i="38"/>
  <c r="E5" i="80"/>
  <c r="E16" i="27"/>
  <c r="X6" i="80"/>
  <c r="F48" i="21"/>
  <c r="G48" i="21"/>
  <c r="H48" i="21"/>
  <c r="D35" i="75"/>
  <c r="D36" i="75"/>
  <c r="E30" i="27"/>
  <c r="E57" i="27"/>
  <c r="E19" i="37"/>
  <c r="F19" i="37"/>
  <c r="C61" i="21"/>
  <c r="D74" i="15"/>
  <c r="R23" i="80"/>
  <c r="T22" i="80"/>
  <c r="AC34" i="80"/>
  <c r="AE33" i="80"/>
  <c r="AK45" i="80"/>
  <c r="AM44" i="80"/>
  <c r="G10" i="37"/>
  <c r="H10" i="37"/>
  <c r="G13" i="37"/>
  <c r="H13" i="37"/>
  <c r="AE54" i="80"/>
  <c r="AG53" i="80"/>
  <c r="X54" i="80"/>
  <c r="Z53" i="80"/>
  <c r="F61" i="21"/>
  <c r="G19" i="37"/>
  <c r="H19" i="37"/>
  <c r="E74" i="15"/>
  <c r="L44" i="21"/>
  <c r="M44" i="21"/>
  <c r="F57" i="22"/>
  <c r="F58" i="22"/>
  <c r="F19" i="22"/>
  <c r="F23" i="22"/>
  <c r="G53" i="15"/>
  <c r="H44" i="21"/>
  <c r="D57" i="22"/>
  <c r="D58" i="22"/>
  <c r="D19" i="22"/>
  <c r="D23" i="22"/>
  <c r="D61" i="21"/>
  <c r="C63" i="21"/>
  <c r="AC32" i="80"/>
  <c r="AE31" i="80"/>
  <c r="R21" i="80"/>
  <c r="T20" i="80"/>
  <c r="AK43" i="80"/>
  <c r="AM42" i="80"/>
  <c r="J44" i="21"/>
  <c r="F25" i="37"/>
  <c r="E26" i="37"/>
  <c r="D47" i="40"/>
  <c r="F30" i="27"/>
  <c r="F57" i="27"/>
  <c r="F71" i="15"/>
  <c r="F16" i="27"/>
  <c r="F50" i="27"/>
  <c r="E6" i="38"/>
  <c r="E8" i="38"/>
  <c r="E11" i="38"/>
  <c r="I48" i="21"/>
  <c r="J48" i="21"/>
  <c r="K48" i="21"/>
  <c r="E35" i="75"/>
  <c r="E36" i="75"/>
  <c r="H25" i="37"/>
  <c r="G26" i="37"/>
  <c r="I61" i="21"/>
  <c r="I19" i="37"/>
  <c r="J19" i="37"/>
  <c r="F74" i="15"/>
  <c r="D59" i="40"/>
  <c r="D64" i="40"/>
  <c r="D63" i="40"/>
  <c r="D57" i="40"/>
  <c r="D62" i="40"/>
  <c r="D61" i="40"/>
  <c r="D60" i="40"/>
  <c r="D56" i="40"/>
  <c r="D58" i="40"/>
  <c r="D52" i="40"/>
  <c r="D63" i="21"/>
  <c r="E61" i="21"/>
  <c r="E63" i="21"/>
  <c r="G61" i="21"/>
  <c r="F63" i="21"/>
  <c r="E57" i="22"/>
  <c r="E58" i="22"/>
  <c r="E19" i="22"/>
  <c r="E23" i="22"/>
  <c r="K44" i="21"/>
  <c r="G50" i="27"/>
  <c r="G16" i="27"/>
  <c r="B16" i="84"/>
  <c r="B82" i="84"/>
  <c r="L48" i="21"/>
  <c r="M48" i="21"/>
  <c r="N48" i="21"/>
  <c r="G57" i="27"/>
  <c r="G30" i="27"/>
  <c r="F6" i="38"/>
  <c r="F8" i="38"/>
  <c r="F11" i="38"/>
  <c r="G71" i="15"/>
  <c r="I22" i="37"/>
  <c r="J22" i="37"/>
  <c r="K22" i="37"/>
  <c r="L22" i="37"/>
  <c r="I10" i="37"/>
  <c r="J10" i="37"/>
  <c r="I13" i="37"/>
  <c r="J13" i="37"/>
  <c r="N44" i="21"/>
  <c r="E45" i="31"/>
  <c r="D29" i="22"/>
  <c r="F29" i="22"/>
  <c r="G45" i="31"/>
  <c r="H45" i="31"/>
  <c r="J25" i="37"/>
  <c r="I26" i="37"/>
  <c r="B83" i="84"/>
  <c r="C82" i="84"/>
  <c r="E29" i="22"/>
  <c r="F45" i="31"/>
  <c r="I46" i="31"/>
  <c r="G74" i="15"/>
  <c r="K19" i="37"/>
  <c r="L19" i="37"/>
  <c r="L61" i="21"/>
  <c r="J61" i="21"/>
  <c r="I63" i="21"/>
  <c r="K10" i="37"/>
  <c r="L10" i="37"/>
  <c r="K13" i="37"/>
  <c r="L13" i="37"/>
  <c r="G63" i="21"/>
  <c r="H61" i="21"/>
  <c r="H63" i="21"/>
  <c r="L25" i="37"/>
  <c r="K26" i="37"/>
  <c r="J63" i="21"/>
  <c r="K61" i="21"/>
  <c r="K63" i="21"/>
  <c r="C83" i="84"/>
  <c r="D83" i="84"/>
  <c r="D82" i="84"/>
  <c r="L63" i="21"/>
  <c r="M61" i="21"/>
  <c r="N61" i="21"/>
  <c r="N63" i="21"/>
  <c r="M63" i="21"/>
  <c r="C61" i="46"/>
  <c r="C52" i="46"/>
  <c r="D61" i="46"/>
  <c r="D52" i="46"/>
  <c r="E61" i="46"/>
  <c r="E52" i="46"/>
  <c r="G48" i="46"/>
  <c r="G46" i="46"/>
  <c r="G44" i="46"/>
  <c r="G43" i="46"/>
  <c r="E47" i="46"/>
  <c r="E34" i="46"/>
  <c r="E42" i="46"/>
  <c r="E43" i="46"/>
  <c r="E44" i="46"/>
  <c r="E46" i="46"/>
  <c r="E48" i="46"/>
  <c r="G34" i="46"/>
  <c r="G42" i="46"/>
  <c r="G47" i="46"/>
  <c r="C43" i="46"/>
  <c r="C44" i="46"/>
  <c r="C46" i="46"/>
  <c r="C48" i="46"/>
  <c r="F61" i="46"/>
  <c r="F52" i="46"/>
  <c r="D43" i="46"/>
  <c r="D44" i="46"/>
  <c r="D46" i="46"/>
  <c r="D48" i="46"/>
  <c r="D26" i="46"/>
  <c r="C34" i="46"/>
  <c r="C42" i="46"/>
  <c r="C47" i="46"/>
  <c r="D27" i="46"/>
  <c r="D28" i="46"/>
  <c r="D30" i="46"/>
  <c r="D25" i="46"/>
  <c r="D34" i="46"/>
  <c r="D42" i="46"/>
  <c r="D47" i="46"/>
  <c r="G26" i="46"/>
  <c r="F43" i="46"/>
  <c r="F44" i="46"/>
  <c r="F46" i="46"/>
  <c r="F48" i="46"/>
  <c r="F34" i="46"/>
  <c r="F42" i="46"/>
  <c r="F47" i="46"/>
  <c r="G27" i="46"/>
  <c r="G28" i="46"/>
  <c r="G30" i="46"/>
  <c r="G25" i="46"/>
  <c r="G52" i="46"/>
  <c r="G61" i="46"/>
  <c r="E27" i="46"/>
  <c r="E28" i="46"/>
  <c r="E30" i="46"/>
  <c r="E25" i="46"/>
  <c r="E26" i="46"/>
  <c r="C27" i="46"/>
  <c r="C28" i="46"/>
  <c r="C30" i="46"/>
  <c r="C25" i="46"/>
  <c r="C26" i="46"/>
  <c r="F27" i="46"/>
  <c r="F28" i="46"/>
  <c r="F30" i="46"/>
  <c r="F25" i="46"/>
  <c r="F26"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ALESSANDRO</author>
    <author>Anna Maria Ferrie</author>
  </authors>
  <commentList>
    <comment ref="C5" authorId="0" shapeId="0" xr:uid="{00000000-0006-0000-0200-000001000000}">
      <text>
        <r>
          <rPr>
            <b/>
            <sz val="9"/>
            <color indexed="81"/>
            <rFont val="Tahoma"/>
            <family val="2"/>
          </rPr>
          <t xml:space="preserve">= Quantity * Price 
</t>
        </r>
      </text>
    </comment>
    <comment ref="D5" authorId="0" shapeId="0" xr:uid="{00000000-0006-0000-0200-000002000000}">
      <text>
        <r>
          <rPr>
            <b/>
            <sz val="9"/>
            <color indexed="81"/>
            <rFont val="Tahoma"/>
            <family val="2"/>
          </rPr>
          <t xml:space="preserve">= Quantity * Price 
</t>
        </r>
      </text>
    </comment>
    <comment ref="E5" authorId="0" shapeId="0" xr:uid="{00000000-0006-0000-0200-000003000000}">
      <text>
        <r>
          <rPr>
            <b/>
            <sz val="9"/>
            <color indexed="81"/>
            <rFont val="Tahoma"/>
            <family val="2"/>
          </rPr>
          <t xml:space="preserve">= Quantity * Price 
</t>
        </r>
      </text>
    </comment>
    <comment ref="F5" authorId="0" shapeId="0" xr:uid="{00000000-0006-0000-0200-000004000000}">
      <text>
        <r>
          <rPr>
            <b/>
            <sz val="9"/>
            <color indexed="81"/>
            <rFont val="Tahoma"/>
            <family val="2"/>
          </rPr>
          <t xml:space="preserve">= Quantity * Price 
</t>
        </r>
      </text>
    </comment>
    <comment ref="G5" authorId="0" shapeId="0" xr:uid="{00000000-0006-0000-0200-000005000000}">
      <text>
        <r>
          <rPr>
            <b/>
            <sz val="9"/>
            <color indexed="81"/>
            <rFont val="Tahoma"/>
            <family val="2"/>
          </rPr>
          <t xml:space="preserve">= Quantity * Price 
</t>
        </r>
      </text>
    </comment>
    <comment ref="C12" authorId="1" shapeId="0" xr:uid="{00000000-0006-0000-0200-000006000000}">
      <text>
        <r>
          <rPr>
            <b/>
            <sz val="8"/>
            <color indexed="81"/>
            <rFont val="Tahoma"/>
            <family val="2"/>
          </rPr>
          <t>=Quantity * Cost</t>
        </r>
      </text>
    </comment>
    <comment ref="D12" authorId="1" shapeId="0" xr:uid="{00000000-0006-0000-0200-000007000000}">
      <text>
        <r>
          <rPr>
            <b/>
            <sz val="8"/>
            <color indexed="81"/>
            <rFont val="Tahoma"/>
            <family val="2"/>
          </rPr>
          <t>=Quantity * Cost</t>
        </r>
      </text>
    </comment>
    <comment ref="E12" authorId="1" shapeId="0" xr:uid="{00000000-0006-0000-0200-000008000000}">
      <text>
        <r>
          <rPr>
            <b/>
            <sz val="8"/>
            <color indexed="81"/>
            <rFont val="Tahoma"/>
            <family val="2"/>
          </rPr>
          <t>=Quantity * Cost</t>
        </r>
      </text>
    </comment>
    <comment ref="F12" authorId="1" shapeId="0" xr:uid="{00000000-0006-0000-0200-000009000000}">
      <text>
        <r>
          <rPr>
            <b/>
            <sz val="8"/>
            <color indexed="81"/>
            <rFont val="Tahoma"/>
            <family val="2"/>
          </rPr>
          <t>=Quantity * Cost</t>
        </r>
      </text>
    </comment>
    <comment ref="G12" authorId="1" shapeId="0" xr:uid="{00000000-0006-0000-0200-00000A000000}">
      <text>
        <r>
          <rPr>
            <b/>
            <sz val="8"/>
            <color indexed="81"/>
            <rFont val="Tahoma"/>
            <family val="2"/>
          </rPr>
          <t>=Quantity * Cost</t>
        </r>
      </text>
    </comment>
    <comment ref="C13" authorId="1" shapeId="0" xr:uid="{00000000-0006-0000-0200-00000B000000}">
      <text>
        <r>
          <rPr>
            <b/>
            <sz val="8"/>
            <color indexed="81"/>
            <rFont val="Tahoma"/>
            <family val="2"/>
          </rPr>
          <t>=Quantity * Cost</t>
        </r>
      </text>
    </comment>
    <comment ref="D13" authorId="1" shapeId="0" xr:uid="{00000000-0006-0000-0200-00000C000000}">
      <text>
        <r>
          <rPr>
            <b/>
            <sz val="8"/>
            <color indexed="81"/>
            <rFont val="Tahoma"/>
            <family val="2"/>
          </rPr>
          <t>=Quantity * Cost</t>
        </r>
      </text>
    </comment>
    <comment ref="E13" authorId="1" shapeId="0" xr:uid="{00000000-0006-0000-0200-00000D000000}">
      <text>
        <r>
          <rPr>
            <b/>
            <sz val="8"/>
            <color indexed="81"/>
            <rFont val="Tahoma"/>
            <family val="2"/>
          </rPr>
          <t>=Quantity * Cost</t>
        </r>
      </text>
    </comment>
    <comment ref="F13" authorId="1" shapeId="0" xr:uid="{00000000-0006-0000-0200-00000E000000}">
      <text>
        <r>
          <rPr>
            <b/>
            <sz val="8"/>
            <color indexed="81"/>
            <rFont val="Tahoma"/>
            <family val="2"/>
          </rPr>
          <t>=Quantity * Cost</t>
        </r>
      </text>
    </comment>
    <comment ref="G13" authorId="1" shapeId="0" xr:uid="{00000000-0006-0000-0200-00000F000000}">
      <text>
        <r>
          <rPr>
            <b/>
            <sz val="8"/>
            <color indexed="81"/>
            <rFont val="Tahoma"/>
            <family val="2"/>
          </rPr>
          <t>=Quantity * Cost</t>
        </r>
      </text>
    </comment>
    <comment ref="C28" authorId="1" shapeId="0" xr:uid="{00000000-0006-0000-0200-000010000000}">
      <text>
        <r>
          <rPr>
            <b/>
            <sz val="8"/>
            <color indexed="81"/>
            <rFont val="Tahoma"/>
            <family val="2"/>
          </rPr>
          <t>=Sum of Purchases/amortisazion years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Davide Zamara</author>
  </authors>
  <commentList>
    <comment ref="A14" authorId="0" shapeId="0" xr:uid="{00000000-0006-0000-2600-000001000000}">
      <text>
        <r>
          <rPr>
            <sz val="9"/>
            <color indexed="81"/>
            <rFont val="Tahoma"/>
            <family val="2"/>
          </rPr>
          <t>It's the ratio between the current taxes payed (provisioned this year) and the total income (operating and none).</t>
        </r>
      </text>
    </comment>
    <comment ref="A16" authorId="0" shapeId="0" xr:uid="{00000000-0006-0000-2600-000002000000}">
      <text>
        <r>
          <rPr>
            <sz val="9"/>
            <color indexed="81"/>
            <rFont val="Tahoma"/>
            <family val="2"/>
          </rPr>
          <t>Total of debt (long and short-term) and equity. It rapresents the funding capital of the firm.</t>
        </r>
      </text>
    </comment>
    <comment ref="A17" authorId="0" shapeId="0" xr:uid="{00000000-0006-0000-2600-000003000000}">
      <text>
        <r>
          <rPr>
            <sz val="9"/>
            <color indexed="81"/>
            <rFont val="Tahoma"/>
            <family val="2"/>
          </rPr>
          <t>CAPital EXpenditures are expenditures creating future benefits. 
CAPEX is commonly found on the cash flow statement under "Investment in Plant, Property, and Equipment", including acquisition of companies, net of cash acquired, and purchases of intangible and other assets.</t>
        </r>
      </text>
    </comment>
    <comment ref="A18" authorId="0" shapeId="0" xr:uid="{00000000-0006-0000-2600-000004000000}">
      <text>
        <r>
          <rPr>
            <sz val="9"/>
            <color indexed="81"/>
            <rFont val="Tahoma"/>
            <family val="2"/>
          </rPr>
          <t>From the cash flow statement.</t>
        </r>
      </text>
    </comment>
    <comment ref="A20" authorId="0" shapeId="0" xr:uid="{00000000-0006-0000-2600-000005000000}">
      <text>
        <r>
          <rPr>
            <sz val="9"/>
            <color indexed="81"/>
            <rFont val="Tahoma"/>
            <family val="2"/>
          </rPr>
          <t>This is the number of years between the expenditure and commercial benefits emerging from the expenditure. See at "Residual Lives Assets" sheet for some suggestions.</t>
        </r>
      </text>
    </comment>
    <comment ref="B25" authorId="0" shapeId="0" xr:uid="{00000000-0006-0000-2600-000006000000}">
      <text>
        <r>
          <rPr>
            <sz val="9"/>
            <color indexed="81"/>
            <rFont val="Tahoma"/>
            <family val="2"/>
          </rPr>
          <t xml:space="preserve">This table automatic asks you the R&amp;D expences according to the years of amortization indicated above, so it is necessary to indicate as may years as the amortizable life.
Year -1 is the year immediatly before the current year. 
Year -2 is the year before the year -1 and so on.
Years 0 are not necessary: this R&amp;D expenses are already "consumed".
If no R&amp;D expenditures have been spent in one (all) past year, leave it (all) blank. </t>
        </r>
      </text>
    </comment>
    <comment ref="C79" authorId="0" shapeId="0" xr:uid="{00000000-0006-0000-2600-000007000000}">
      <text>
        <r>
          <rPr>
            <sz val="9"/>
            <color indexed="81"/>
            <rFont val="Tahoma"/>
            <family val="2"/>
          </rPr>
          <t>From the current year's EBIT without capitalizing we have to remove the R&amp;D expenses (it was a cost so we sum to the EBIT) and add (deduct) the R&amp;D asset amortization that we have never capitalized.</t>
        </r>
      </text>
    </comment>
    <comment ref="D79" authorId="0" shapeId="0" xr:uid="{00000000-0006-0000-2600-000008000000}">
      <text>
        <r>
          <rPr>
            <sz val="9"/>
            <color indexed="81"/>
            <rFont val="Tahoma"/>
            <family val="2"/>
          </rPr>
          <t xml:space="preserve">EBIT increased by an amount equal to the difference between the R&amp;D expenses (current year) and the asset amortization on current year. The higher the current R&amp;D are, the higher the EBIT with capitalizing will be. </t>
        </r>
      </text>
    </comment>
    <comment ref="C80" authorId="0" shapeId="0" xr:uid="{00000000-0006-0000-2600-000009000000}">
      <text>
        <r>
          <rPr>
            <sz val="9"/>
            <color indexed="81"/>
            <rFont val="Tahoma"/>
            <family val="2"/>
          </rPr>
          <t xml:space="preserve">Adding the [R&amp;D - Amortization] to the after-tax operating income and not tax adjusting is not a mistake, it is intentional. It captures the tax benefits accruing to firms from the expensing of R&amp;D, which will not be lost just because we decided to capitalize the expense for valuation purposes.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Davide Zamara</author>
  </authors>
  <commentList>
    <comment ref="A37" authorId="0" shapeId="0" xr:uid="{00000000-0006-0000-2900-000001000000}">
      <text>
        <r>
          <rPr>
            <sz val="9"/>
            <color indexed="81"/>
            <rFont val="Calibri"/>
            <family val="2"/>
          </rPr>
          <t xml:space="preserve">To calculate the price premium it's necessary to define a benchmark price. The branded product price can be included in this benchmark and all prices must be refered to an equivalent volume (ex. price per unit or per liter). There are four kinds of benchmarks:
1) </t>
        </r>
        <r>
          <rPr>
            <i/>
            <sz val="9"/>
            <color indexed="81"/>
            <rFont val="Calibri"/>
          </rPr>
          <t>The price of a specified competitor.</t>
        </r>
        <r>
          <rPr>
            <sz val="9"/>
            <color indexed="81"/>
            <rFont val="Calibri"/>
            <family val="2"/>
          </rPr>
          <t xml:space="preserve"> It's the simplest modality and is based on the comparison of the brand's price with a direct competitor. In case of multiple competitors, is possible to use the average price of a selected group of competitors as benchmark.
2) </t>
        </r>
        <r>
          <rPr>
            <i/>
            <sz val="9"/>
            <color indexed="81"/>
            <rFont val="Calibri"/>
          </rPr>
          <t>APP: average price paid (unit-sales weighted average price in the category)</t>
        </r>
        <r>
          <rPr>
            <sz val="9"/>
            <color indexed="81"/>
            <rFont val="Calibri"/>
            <family val="2"/>
          </rPr>
          <t xml:space="preserve">. It represents the average price that customers pay for brands in a given category. This average can be calculated in two ways: (a) as the ratio betwewn the total category revenue and the total category unit sales; (b) as the unit-share weighted average price in the category. Note: the average market price paid includes the investigated brand; changes in unit-shares will modify the average price paid.
3) </t>
        </r>
        <r>
          <rPr>
            <i/>
            <sz val="9"/>
            <color indexed="81"/>
            <rFont val="Calibri"/>
          </rPr>
          <t>APC: average price charged (simple - unweighted - average price in the category)</t>
        </r>
        <r>
          <rPr>
            <sz val="9"/>
            <color indexed="81"/>
            <rFont val="Calibri"/>
            <family val="2"/>
          </rPr>
          <t xml:space="preserve">. It is a simplified version of APP because it doesn't require the knowledge of sales or shares for each competitor, so it is a simple unweighted average price of the brands in the specific category that only requires the knowledge of prices. Note: this benchmark is not affected by changes in unit shares; it captures the way a brand’s price compares to prices set by competitors, without regard to customers’ reactions to those prices; it treats all competitors (large and small) equally.
4) </t>
        </r>
        <r>
          <rPr>
            <i/>
            <sz val="9"/>
            <color indexed="81"/>
            <rFont val="Calibri"/>
          </rPr>
          <t>APV: average price displayed (display-weighted average price in the category)</t>
        </r>
        <r>
          <rPr>
            <sz val="9"/>
            <color indexed="81"/>
            <rFont val="Calibri"/>
            <family val="2"/>
          </rPr>
          <t>. It is conceptually located between APP and APC because this benchmark captures differences in the scale and strength of brands’ distribution by weighting each brand price for a numerical measure of distribution.</t>
        </r>
      </text>
    </comment>
    <comment ref="A38" authorId="0" shapeId="0" xr:uid="{00000000-0006-0000-2900-000002000000}">
      <text>
        <r>
          <rPr>
            <sz val="9"/>
            <color indexed="81"/>
            <rFont val="Calibri"/>
            <family val="2"/>
          </rPr>
          <t>The considerations previously made for the benchmark price remain valid even for the benchmark volume.
Through the volume premium method it is possible to estimate the value of a brand by the volume premium that it generates when compared to a similar but unbranded product (good or service). So price and volume premium methods are direcly linked, in fact it is necessary to take into account the price premium method to complete a proper volume premium evaluation.</t>
        </r>
      </text>
    </comment>
    <comment ref="A78" authorId="0" shapeId="0" xr:uid="{00000000-0006-0000-2900-000003000000}">
      <text>
        <r>
          <rPr>
            <sz val="9"/>
            <color indexed="81"/>
            <rFont val="Tahoma"/>
            <family val="2"/>
          </rPr>
          <t>It's the ratio between the current taxes payed (provisioned this year) and the total income (operating and none).</t>
        </r>
      </text>
    </comment>
    <comment ref="A86" authorId="0" shapeId="0" xr:uid="{00000000-0006-0000-2900-000004000000}">
      <text>
        <r>
          <rPr>
            <sz val="9"/>
            <color indexed="81"/>
            <rFont val="Arial"/>
          </rPr>
          <t>This is only an hypothetical forecasting of use based on amortization fee as criterion. If the valuer considers its estimate better and more consistent with the specific case is requested to insert it.</t>
        </r>
      </text>
    </comment>
    <comment ref="A88" authorId="0" shapeId="0" xr:uid="{00000000-0006-0000-2900-000005000000}">
      <text>
        <r>
          <rPr>
            <sz val="9"/>
            <color indexed="81"/>
            <rFont val="Calibri"/>
            <family val="2"/>
          </rPr>
          <t>To make this evaluation, the brand valuer can use a variety of valuation approaches and methods depending on which he considers the most appropriate to each specific asset.</t>
        </r>
      </text>
    </comment>
    <comment ref="A90" authorId="0" shapeId="0" xr:uid="{00000000-0006-0000-2900-000006000000}">
      <text>
        <r>
          <rPr>
            <sz val="9"/>
            <color indexed="81"/>
            <rFont val="Calibri"/>
            <family val="2"/>
          </rPr>
          <t>According to the avarage calculated useful life of tangible assets and to their extimated market value, this charge represents that average portion of assets which has been employed and consumed in the annual production process.</t>
        </r>
      </text>
    </comment>
    <comment ref="A125" authorId="0" shapeId="0" xr:uid="{00000000-0006-0000-2900-000007000000}">
      <text>
        <r>
          <rPr>
            <sz val="9"/>
            <color indexed="81"/>
            <rFont val="Tahoma"/>
            <family val="2"/>
          </rPr>
          <t>It's the ratio between the current taxes payed (provisioned this year) and the total income (operating and none).</t>
        </r>
      </text>
    </comment>
    <comment ref="A139" authorId="0" shapeId="0" xr:uid="{00000000-0006-0000-2900-000008000000}">
      <text>
        <r>
          <rPr>
            <sz val="9"/>
            <color indexed="81"/>
            <rFont val="Arial"/>
          </rPr>
          <t>This is only an hypothetical forecasting of use based on amortization fee as criterion. If the valuer considers its estimate better and more consistent with the specific case is requested to insert it.</t>
        </r>
      </text>
    </comment>
    <comment ref="A141" authorId="0" shapeId="0" xr:uid="{00000000-0006-0000-2900-000009000000}">
      <text>
        <r>
          <rPr>
            <sz val="9"/>
            <color indexed="81"/>
            <rFont val="Arial"/>
          </rPr>
          <t>This is only an hypothetical forecasting of use based on amortization fee as criterion. If the valuer considers its estimate better and more consistent with the specific case is requested to insert it.</t>
        </r>
      </text>
    </comment>
    <comment ref="A143" authorId="0" shapeId="0" xr:uid="{00000000-0006-0000-2900-00000A000000}">
      <text>
        <r>
          <rPr>
            <sz val="9"/>
            <color indexed="81"/>
            <rFont val="Calibri"/>
            <family val="2"/>
          </rPr>
          <t>To make this evaluation, the brand valuer can use a variety of valuation approaches and methods depending on which he considers the most appropriate to each specific asset.</t>
        </r>
      </text>
    </comment>
    <comment ref="A144" authorId="0" shapeId="0" xr:uid="{00000000-0006-0000-2900-00000B000000}">
      <text>
        <r>
          <rPr>
            <sz val="9"/>
            <color indexed="81"/>
            <rFont val="Calibri"/>
            <family val="2"/>
          </rPr>
          <t>To make this evaluation, the brand valuer can use a variety of valuation approaches and methods depending on which he considers the most appropriate to each specific asset.</t>
        </r>
      </text>
    </comment>
    <comment ref="A147" authorId="0" shapeId="0" xr:uid="{00000000-0006-0000-2900-00000C000000}">
      <text>
        <r>
          <rPr>
            <sz val="9"/>
            <color indexed="81"/>
            <rFont val="Calibri"/>
            <family val="2"/>
          </rPr>
          <t>According to the avarage calculated useful life of assets (tangible and intangible) and to their extimated market values, this charge represents that average portion of assets which has been employed and consumed in the annual production process.</t>
        </r>
      </text>
    </comment>
    <comment ref="A179" authorId="0" shapeId="0" xr:uid="{00000000-0006-0000-2900-00000D000000}">
      <text>
        <r>
          <rPr>
            <sz val="9"/>
            <color indexed="81"/>
            <rFont val="Tahoma"/>
            <family val="2"/>
          </rPr>
          <t>It's the ratio between the current taxes payed (provisioned this year) and the total income (operating and none).</t>
        </r>
      </text>
    </comment>
    <comment ref="A216" authorId="0" shapeId="0" xr:uid="{00000000-0006-0000-2900-00000E000000}">
      <text>
        <r>
          <rPr>
            <sz val="9"/>
            <color indexed="81"/>
            <rFont val="Calibri"/>
            <family val="2"/>
          </rPr>
          <t xml:space="preserve">Hypothtical royalties are determined after an in-depth analysis of available data from licensing arrangements for comparable brands and an appropriate split of brand earnings between licensor and licensee, using behavioural and business analysis, and should be as close as possible to brands with the same characteristics and size as the brand subjected to the evaluation.
Analytical on-line database useful to make royalties fee analysis can be:
www.royaltysource.com
www.ktmine.com
www.royaltyconnection.com 
www.royaltystat.com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Anna Maria Ferrie</author>
    <author>ALESSANDRO</author>
  </authors>
  <commentList>
    <comment ref="C7" authorId="0" shapeId="0" xr:uid="{00000000-0006-0000-0300-000001000000}">
      <text>
        <r>
          <rPr>
            <b/>
            <sz val="8"/>
            <color indexed="81"/>
            <rFont val="Tahoma"/>
            <family val="2"/>
          </rPr>
          <t>=Land &amp; Buildings Purchases - (Land &amp; Buildings/years of amortisazion)</t>
        </r>
      </text>
    </comment>
    <comment ref="D7" authorId="0" shapeId="0" xr:uid="{00000000-0006-0000-0300-000002000000}">
      <text>
        <r>
          <rPr>
            <b/>
            <sz val="8"/>
            <color indexed="81"/>
            <rFont val="Tahoma"/>
            <family val="2"/>
          </rPr>
          <t>=Land &amp; Buildings Purchases - (Land &amp; Buildings/years of amortisazion)</t>
        </r>
      </text>
    </comment>
    <comment ref="E7" authorId="0" shapeId="0" xr:uid="{00000000-0006-0000-0300-000003000000}">
      <text>
        <r>
          <rPr>
            <b/>
            <sz val="8"/>
            <color indexed="81"/>
            <rFont val="Tahoma"/>
            <family val="2"/>
          </rPr>
          <t>=Land &amp; Buildings Purchases - (Land &amp; Buildings/years of amortisazion)</t>
        </r>
      </text>
    </comment>
    <comment ref="F7" authorId="0" shapeId="0" xr:uid="{00000000-0006-0000-0300-000004000000}">
      <text>
        <r>
          <rPr>
            <b/>
            <sz val="8"/>
            <color indexed="81"/>
            <rFont val="Tahoma"/>
            <family val="2"/>
          </rPr>
          <t>=Land &amp; Buildings Purchases - (Land &amp; Buildings/years of amortisazion)</t>
        </r>
      </text>
    </comment>
    <comment ref="G7" authorId="0" shapeId="0" xr:uid="{00000000-0006-0000-0300-000005000000}">
      <text>
        <r>
          <rPr>
            <b/>
            <sz val="8"/>
            <color indexed="81"/>
            <rFont val="Tahoma"/>
            <family val="2"/>
          </rPr>
          <t>=Land &amp; Buildings Purchases - (Land &amp; Buildings/years of amortisazion)</t>
        </r>
      </text>
    </comment>
    <comment ref="C8" authorId="0" shapeId="0" xr:uid="{00000000-0006-0000-0300-000006000000}">
      <text>
        <r>
          <rPr>
            <b/>
            <sz val="8"/>
            <color indexed="81"/>
            <rFont val="Tahoma"/>
            <family val="2"/>
          </rPr>
          <t>=Plants &amp; Machinery Purchases - (Plants &amp; Machinery purchases/years of amortisazion)</t>
        </r>
      </text>
    </comment>
    <comment ref="D8" authorId="0" shapeId="0" xr:uid="{00000000-0006-0000-0300-000007000000}">
      <text>
        <r>
          <rPr>
            <b/>
            <sz val="8"/>
            <color indexed="81"/>
            <rFont val="Tahoma"/>
            <family val="2"/>
          </rPr>
          <t>=Plants &amp; Machinery Purchases - (Plants &amp; Machinery purchases/years of amortisazion)</t>
        </r>
      </text>
    </comment>
    <comment ref="E8" authorId="0" shapeId="0" xr:uid="{00000000-0006-0000-0300-000008000000}">
      <text>
        <r>
          <rPr>
            <b/>
            <sz val="8"/>
            <color indexed="81"/>
            <rFont val="Tahoma"/>
            <family val="2"/>
          </rPr>
          <t>=Plants &amp; Machinery Purchases - (Plants &amp; Machinery purchases/years of amortisazion)</t>
        </r>
      </text>
    </comment>
    <comment ref="F8" authorId="0" shapeId="0" xr:uid="{00000000-0006-0000-0300-000009000000}">
      <text>
        <r>
          <rPr>
            <b/>
            <sz val="8"/>
            <color indexed="81"/>
            <rFont val="Tahoma"/>
            <family val="2"/>
          </rPr>
          <t>=Plants &amp; Machinery Purchases - (Plants &amp; Machinery purchases/years of amortisazion)</t>
        </r>
      </text>
    </comment>
    <comment ref="G8" authorId="0" shapeId="0" xr:uid="{00000000-0006-0000-0300-00000A000000}">
      <text>
        <r>
          <rPr>
            <b/>
            <sz val="8"/>
            <color indexed="81"/>
            <rFont val="Tahoma"/>
            <family val="2"/>
          </rPr>
          <t>=Plants &amp; Machinery Purchases - (Plants &amp; Machinery purchases/years of amortisazion)</t>
        </r>
      </text>
    </comment>
    <comment ref="C9" authorId="1" shapeId="0" xr:uid="{00000000-0006-0000-0300-00000B000000}">
      <text>
        <r>
          <rPr>
            <b/>
            <sz val="9"/>
            <color indexed="81"/>
            <rFont val="Tahoma"/>
            <family val="2"/>
          </rPr>
          <t>=Industrial and commercial fixture - (industrial and commercial fixture/years of amortisazion)</t>
        </r>
      </text>
    </comment>
    <comment ref="D9" authorId="1" shapeId="0" xr:uid="{00000000-0006-0000-0300-00000C000000}">
      <text>
        <r>
          <rPr>
            <b/>
            <sz val="9"/>
            <color indexed="81"/>
            <rFont val="Tahoma"/>
            <family val="2"/>
          </rPr>
          <t>=Industrial and commercial fixture - (industrial and commercial fixture/years of amortisazion)</t>
        </r>
      </text>
    </comment>
    <comment ref="E9" authorId="1" shapeId="0" xr:uid="{00000000-0006-0000-0300-00000D000000}">
      <text>
        <r>
          <rPr>
            <b/>
            <sz val="9"/>
            <color indexed="81"/>
            <rFont val="Tahoma"/>
            <family val="2"/>
          </rPr>
          <t>=Industrial and commercial fixture - (industrial and commercial fixture/years of amortisazion)</t>
        </r>
      </text>
    </comment>
    <comment ref="F9" authorId="1" shapeId="0" xr:uid="{00000000-0006-0000-0300-00000E000000}">
      <text>
        <r>
          <rPr>
            <b/>
            <sz val="9"/>
            <color indexed="81"/>
            <rFont val="Tahoma"/>
            <family val="2"/>
          </rPr>
          <t>=Industrial and commercial fixture - (industrial and commercial fixture/years of amortisazion)</t>
        </r>
      </text>
    </comment>
    <comment ref="G9" authorId="1" shapeId="0" xr:uid="{00000000-0006-0000-0300-00000F000000}">
      <text>
        <r>
          <rPr>
            <b/>
            <sz val="9"/>
            <color indexed="81"/>
            <rFont val="Tahoma"/>
            <family val="2"/>
          </rPr>
          <t>=Industrial and commercial fixture - (industrial and commercial fixture/years of amortisazion)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ALESSANDRO</author>
  </authors>
  <commentList>
    <comment ref="B6" authorId="0" shapeId="0" xr:uid="{00000000-0006-0000-0400-000001000000}">
      <text>
        <r>
          <rPr>
            <sz val="9"/>
            <color indexed="81"/>
            <rFont val="Tahoma"/>
            <family val="2"/>
          </rPr>
          <t xml:space="preserve">Data from business
plan. </t>
        </r>
      </text>
    </comment>
    <comment ref="B7" authorId="0" shapeId="0" xr:uid="{00000000-0006-0000-0400-000002000000}">
      <text>
        <r>
          <rPr>
            <sz val="9"/>
            <color indexed="81"/>
            <rFont val="Tahoma"/>
            <family val="2"/>
          </rPr>
          <t>Data from business
plan.</t>
        </r>
      </text>
    </comment>
    <comment ref="B8" authorId="0" shapeId="0" xr:uid="{00000000-0006-0000-0400-000003000000}">
      <text>
        <r>
          <rPr>
            <sz val="9"/>
            <color indexed="81"/>
            <rFont val="Tahoma"/>
            <family val="2"/>
          </rPr>
          <t>Data from business
plan.</t>
        </r>
      </text>
    </comment>
    <comment ref="B9" authorId="0" shapeId="0" xr:uid="{00000000-0006-0000-0400-000004000000}">
      <text>
        <r>
          <rPr>
            <sz val="9"/>
            <color indexed="81"/>
            <rFont val="Tahoma"/>
            <family val="2"/>
          </rPr>
          <t>Data from business
plan.</t>
        </r>
      </text>
    </comment>
    <comment ref="B10" authorId="0" shapeId="0" xr:uid="{00000000-0006-0000-0400-000005000000}">
      <text>
        <r>
          <rPr>
            <sz val="9"/>
            <color indexed="81"/>
            <rFont val="Tahoma"/>
            <family val="2"/>
          </rPr>
          <t>Data from business
plan.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ALESSANDRO</author>
  </authors>
  <commentList>
    <comment ref="F10" authorId="0" shapeId="0" xr:uid="{00000000-0006-0000-0900-000001000000}">
      <text>
        <r>
          <rPr>
            <sz val="9"/>
            <color indexed="81"/>
            <rFont val="Tahoma"/>
            <family val="2"/>
          </rPr>
          <t xml:space="preserve">we suppose that the product price is a fixed data. </t>
        </r>
        <r>
          <rPr>
            <u/>
            <sz val="9"/>
            <color indexed="81"/>
            <rFont val="Tahoma"/>
            <family val="2"/>
          </rPr>
          <t>It's taken from business plan</t>
        </r>
      </text>
    </comment>
    <comment ref="F12" authorId="0" shapeId="0" xr:uid="{00000000-0006-0000-0900-000002000000}">
      <text>
        <r>
          <rPr>
            <sz val="9"/>
            <color indexed="81"/>
            <rFont val="Tahoma"/>
            <family val="2"/>
          </rPr>
          <t>Data from the business plan.</t>
        </r>
      </text>
    </comment>
    <comment ref="F13" authorId="0" shapeId="0" xr:uid="{00000000-0006-0000-0900-000003000000}">
      <text>
        <r>
          <rPr>
            <sz val="10"/>
            <color indexed="81"/>
            <rFont val="Tahoma"/>
            <family val="2"/>
          </rPr>
          <t xml:space="preserve">=Product price - (% of variable costs on product price * product price).
</t>
        </r>
      </text>
    </comment>
    <comment ref="E19" authorId="0" shapeId="0" xr:uid="{00000000-0006-0000-0900-000004000000}">
      <text>
        <r>
          <rPr>
            <b/>
            <sz val="9"/>
            <color indexed="81"/>
            <rFont val="Tahoma"/>
            <family val="2"/>
          </rPr>
          <t>Degree of Operating Leverage = (Total Revenue - Total Variable Costs) / (Total Revenue - Total Variable Costs - Fixed Costs) = Contribution Margin / Operating Result (EBIT)</t>
        </r>
      </text>
    </comment>
    <comment ref="F29" authorId="0" shapeId="0" xr:uid="{00000000-0006-0000-0900-000005000000}">
      <text>
        <r>
          <rPr>
            <sz val="9"/>
            <color indexed="81"/>
            <rFont val="Tahoma"/>
            <family val="2"/>
          </rPr>
          <t>Data from the business plan.</t>
        </r>
      </text>
    </comment>
    <comment ref="F30" authorId="0" shapeId="0" xr:uid="{00000000-0006-0000-0900-000006000000}">
      <text>
        <r>
          <rPr>
            <sz val="9"/>
            <color indexed="81"/>
            <rFont val="Tahoma"/>
            <family val="2"/>
          </rPr>
          <t xml:space="preserve">we suppose that the product price is a fixed data. </t>
        </r>
        <r>
          <rPr>
            <u/>
            <sz val="9"/>
            <color indexed="81"/>
            <rFont val="Tahoma"/>
            <family val="2"/>
          </rPr>
          <t>It's taken from business plan</t>
        </r>
      </text>
    </comment>
    <comment ref="F34" authorId="0" shapeId="0" xr:uid="{00000000-0006-0000-0900-000007000000}">
      <text>
        <r>
          <rPr>
            <sz val="9"/>
            <color indexed="81"/>
            <rFont val="Tahoma"/>
            <family val="2"/>
          </rPr>
          <t>Data from the Income Statement.</t>
        </r>
      </text>
    </comment>
    <comment ref="F35" authorId="0" shapeId="0" xr:uid="{00000000-0006-0000-0900-000008000000}">
      <text>
        <r>
          <rPr>
            <sz val="9"/>
            <color indexed="81"/>
            <rFont val="Tahoma"/>
            <family val="2"/>
          </rPr>
          <t>Data from the business plan.</t>
        </r>
      </text>
    </comment>
    <comment ref="F37" authorId="0" shapeId="0" xr:uid="{00000000-0006-0000-0900-000009000000}">
      <text>
        <r>
          <rPr>
            <sz val="9"/>
            <color indexed="81"/>
            <rFont val="Tahoma"/>
            <family val="2"/>
          </rPr>
          <t>Data from the business plan.</t>
        </r>
      </text>
    </comment>
    <comment ref="E39" authorId="0" shapeId="0" xr:uid="{00000000-0006-0000-0900-00000A000000}">
      <text>
        <r>
          <rPr>
            <b/>
            <sz val="9"/>
            <color indexed="81"/>
            <rFont val="Tahoma"/>
            <family val="2"/>
          </rPr>
          <t>Degree of Operating Leverage = (Total Revenue - Total Variable Costs) / (Total Revenue - Total Variable Costs - Fixed Costs) = Contribution Margin / Operating Result (EBIT)</t>
        </r>
      </text>
    </comment>
    <comment ref="E75" authorId="0" shapeId="0" xr:uid="{00000000-0006-0000-0900-00000B000000}">
      <text>
        <r>
          <rPr>
            <sz val="9"/>
            <color indexed="81"/>
            <rFont val="Tahoma"/>
            <family val="2"/>
          </rPr>
          <t>Data from the Income Statement of this venture.
We suppose that the structure of costs doesn't change.</t>
        </r>
      </text>
    </comment>
    <comment ref="L75" authorId="0" shapeId="0" xr:uid="{00000000-0006-0000-0900-00000C000000}">
      <text>
        <r>
          <rPr>
            <sz val="9"/>
            <color indexed="81"/>
            <rFont val="Tahoma"/>
            <family val="2"/>
          </rPr>
          <t>Data from the Income Statement of this venture.
We suppose that the structure of costs doesn't change.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ALESSANDRO</author>
  </authors>
  <commentList>
    <comment ref="B14" authorId="0" shapeId="0" xr:uid="{00000000-0006-0000-0E00-000001000000}">
      <text>
        <r>
          <rPr>
            <sz val="9"/>
            <color indexed="81"/>
            <rFont val="Tahoma"/>
            <family val="2"/>
          </rPr>
          <t xml:space="preserve">we suppose that the product price is a fixed data. </t>
        </r>
        <r>
          <rPr>
            <u/>
            <sz val="9"/>
            <color indexed="81"/>
            <rFont val="Tahoma"/>
            <family val="2"/>
          </rPr>
          <t>It's taken from business plan</t>
        </r>
      </text>
    </comment>
    <comment ref="C14" authorId="0" shapeId="0" xr:uid="{00000000-0006-0000-0E00-000002000000}">
      <text>
        <r>
          <rPr>
            <sz val="9"/>
            <color indexed="81"/>
            <rFont val="Tahoma"/>
            <family val="2"/>
          </rPr>
          <t xml:space="preserve">we suppose that the product price is a fixed data. </t>
        </r>
        <r>
          <rPr>
            <u/>
            <sz val="9"/>
            <color indexed="81"/>
            <rFont val="Tahoma"/>
            <family val="2"/>
          </rPr>
          <t>It's taken from business plan</t>
        </r>
      </text>
    </comment>
    <comment ref="D14" authorId="0" shapeId="0" xr:uid="{00000000-0006-0000-0E00-000003000000}">
      <text>
        <r>
          <rPr>
            <sz val="9"/>
            <color indexed="81"/>
            <rFont val="Tahoma"/>
            <family val="2"/>
          </rPr>
          <t xml:space="preserve">we suppose that the product price is a fixed data. </t>
        </r>
        <r>
          <rPr>
            <u/>
            <sz val="9"/>
            <color indexed="81"/>
            <rFont val="Tahoma"/>
            <family val="2"/>
          </rPr>
          <t>It's taken from business plan</t>
        </r>
      </text>
    </comment>
    <comment ref="E14" authorId="0" shapeId="0" xr:uid="{00000000-0006-0000-0E00-000004000000}">
      <text>
        <r>
          <rPr>
            <sz val="9"/>
            <color indexed="81"/>
            <rFont val="Tahoma"/>
            <family val="2"/>
          </rPr>
          <t xml:space="preserve">we suppose that the product price is a fixed data. </t>
        </r>
        <r>
          <rPr>
            <u/>
            <sz val="9"/>
            <color indexed="81"/>
            <rFont val="Tahoma"/>
            <family val="2"/>
          </rPr>
          <t>It's taken from business plan</t>
        </r>
      </text>
    </comment>
    <comment ref="F14" authorId="0" shapeId="0" xr:uid="{00000000-0006-0000-0E00-000005000000}">
      <text>
        <r>
          <rPr>
            <sz val="9"/>
            <color indexed="81"/>
            <rFont val="Tahoma"/>
            <family val="2"/>
          </rPr>
          <t xml:space="preserve">we suppose that the product price is a fixed data. </t>
        </r>
        <r>
          <rPr>
            <u/>
            <sz val="9"/>
            <color indexed="81"/>
            <rFont val="Tahoma"/>
            <family val="2"/>
          </rPr>
          <t>It's taken from business plan</t>
        </r>
      </text>
    </comment>
    <comment ref="B16" authorId="0" shapeId="0" xr:uid="{00000000-0006-0000-0E00-000006000000}">
      <text>
        <r>
          <rPr>
            <sz val="9"/>
            <color indexed="81"/>
            <rFont val="Tahoma"/>
            <family val="2"/>
          </rPr>
          <t>Data from the business plan.</t>
        </r>
      </text>
    </comment>
    <comment ref="C16" authorId="0" shapeId="0" xr:uid="{00000000-0006-0000-0E00-000007000000}">
      <text>
        <r>
          <rPr>
            <sz val="9"/>
            <color indexed="81"/>
            <rFont val="Tahoma"/>
            <family val="2"/>
          </rPr>
          <t>Data from the business plan.</t>
        </r>
      </text>
    </comment>
    <comment ref="D16" authorId="0" shapeId="0" xr:uid="{00000000-0006-0000-0E00-000008000000}">
      <text>
        <r>
          <rPr>
            <sz val="9"/>
            <color indexed="81"/>
            <rFont val="Tahoma"/>
            <family val="2"/>
          </rPr>
          <t>Data from the business plan.</t>
        </r>
      </text>
    </comment>
    <comment ref="E16" authorId="0" shapeId="0" xr:uid="{00000000-0006-0000-0E00-000009000000}">
      <text>
        <r>
          <rPr>
            <sz val="9"/>
            <color indexed="81"/>
            <rFont val="Tahoma"/>
            <family val="2"/>
          </rPr>
          <t>Data from the business plan.</t>
        </r>
      </text>
    </comment>
    <comment ref="F16" authorId="0" shapeId="0" xr:uid="{00000000-0006-0000-0E00-00000A000000}">
      <text>
        <r>
          <rPr>
            <sz val="9"/>
            <color indexed="81"/>
            <rFont val="Tahoma"/>
            <family val="2"/>
          </rPr>
          <t>Data from the business plan.</t>
        </r>
      </text>
    </comment>
    <comment ref="B17" authorId="0" shapeId="0" xr:uid="{00000000-0006-0000-0E00-00000B000000}">
      <text>
        <r>
          <rPr>
            <sz val="10"/>
            <color indexed="81"/>
            <rFont val="Tahoma"/>
            <family val="2"/>
          </rPr>
          <t xml:space="preserve">=Product price - (% of variable costs on product price * product price).
</t>
        </r>
      </text>
    </comment>
    <comment ref="C17" authorId="0" shapeId="0" xr:uid="{00000000-0006-0000-0E00-00000C000000}">
      <text>
        <r>
          <rPr>
            <sz val="10"/>
            <color indexed="81"/>
            <rFont val="Tahoma"/>
            <family val="2"/>
          </rPr>
          <t xml:space="preserve">=Product price - (% of variable costs on product price * product price).
</t>
        </r>
      </text>
    </comment>
    <comment ref="D17" authorId="0" shapeId="0" xr:uid="{00000000-0006-0000-0E00-00000D000000}">
      <text>
        <r>
          <rPr>
            <sz val="10"/>
            <color indexed="81"/>
            <rFont val="Tahoma"/>
            <family val="2"/>
          </rPr>
          <t xml:space="preserve">=Product price - (% of variable costs on product price * product price).
</t>
        </r>
      </text>
    </comment>
    <comment ref="E17" authorId="0" shapeId="0" xr:uid="{00000000-0006-0000-0E00-00000E000000}">
      <text>
        <r>
          <rPr>
            <sz val="10"/>
            <color indexed="81"/>
            <rFont val="Tahoma"/>
            <family val="2"/>
          </rPr>
          <t xml:space="preserve">=Product price - (% of variable costs on product price * product price).
</t>
        </r>
      </text>
    </comment>
    <comment ref="F17" authorId="0" shapeId="0" xr:uid="{00000000-0006-0000-0E00-00000F000000}">
      <text>
        <r>
          <rPr>
            <sz val="10"/>
            <color indexed="81"/>
            <rFont val="Tahoma"/>
            <family val="2"/>
          </rPr>
          <t xml:space="preserve">=Product price - (% of variable costs on product price * product price).
</t>
        </r>
      </text>
    </comment>
    <comment ref="A27" authorId="0" shapeId="0" xr:uid="{00000000-0006-0000-0E00-000010000000}">
      <text>
        <r>
          <rPr>
            <b/>
            <sz val="9"/>
            <color indexed="81"/>
            <rFont val="Tahoma"/>
            <family val="2"/>
          </rPr>
          <t>Degree of Operating Leverage = (Total Revenue - Total Variable Costs) / (Total Revenue - Total Variable Costs - Fixed Costs) = Contribution Margin / Operating Result (EBIT)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ALESSANDRO</author>
  </authors>
  <commentList>
    <comment ref="B8" authorId="0" shapeId="0" xr:uid="{00000000-0006-0000-0F00-000001000000}">
      <text>
        <r>
          <rPr>
            <sz val="9"/>
            <color indexed="81"/>
            <rFont val="Tahoma"/>
            <family val="2"/>
          </rPr>
          <t>Data from the business plan.</t>
        </r>
      </text>
    </comment>
    <comment ref="C8" authorId="0" shapeId="0" xr:uid="{00000000-0006-0000-0F00-000002000000}">
      <text>
        <r>
          <rPr>
            <sz val="9"/>
            <color indexed="81"/>
            <rFont val="Tahoma"/>
            <family val="2"/>
          </rPr>
          <t>Data from the business plan.</t>
        </r>
      </text>
    </comment>
    <comment ref="D8" authorId="0" shapeId="0" xr:uid="{00000000-0006-0000-0F00-000003000000}">
      <text>
        <r>
          <rPr>
            <sz val="9"/>
            <color indexed="81"/>
            <rFont val="Tahoma"/>
            <family val="2"/>
          </rPr>
          <t>Data from the business plan.</t>
        </r>
      </text>
    </comment>
    <comment ref="E8" authorId="0" shapeId="0" xr:uid="{00000000-0006-0000-0F00-000004000000}">
      <text>
        <r>
          <rPr>
            <sz val="9"/>
            <color indexed="81"/>
            <rFont val="Tahoma"/>
            <family val="2"/>
          </rPr>
          <t>Data from the business plan.</t>
        </r>
      </text>
    </comment>
    <comment ref="F8" authorId="0" shapeId="0" xr:uid="{00000000-0006-0000-0F00-000005000000}">
      <text>
        <r>
          <rPr>
            <sz val="9"/>
            <color indexed="81"/>
            <rFont val="Tahoma"/>
            <family val="2"/>
          </rPr>
          <t>Data from the business plan.</t>
        </r>
      </text>
    </comment>
    <comment ref="B9" authorId="0" shapeId="0" xr:uid="{00000000-0006-0000-0F00-000006000000}">
      <text>
        <r>
          <rPr>
            <sz val="9"/>
            <color indexed="81"/>
            <rFont val="Tahoma"/>
            <family val="2"/>
          </rPr>
          <t xml:space="preserve">we suppose that the product price is a fixed data. </t>
        </r>
        <r>
          <rPr>
            <u/>
            <sz val="9"/>
            <color indexed="81"/>
            <rFont val="Tahoma"/>
            <family val="2"/>
          </rPr>
          <t>It's taken from business plan</t>
        </r>
      </text>
    </comment>
    <comment ref="C9" authorId="0" shapeId="0" xr:uid="{00000000-0006-0000-0F00-000007000000}">
      <text>
        <r>
          <rPr>
            <sz val="9"/>
            <color indexed="81"/>
            <rFont val="Tahoma"/>
            <family val="2"/>
          </rPr>
          <t xml:space="preserve">we suppose that the product price is a fixed data. </t>
        </r>
        <r>
          <rPr>
            <u/>
            <sz val="9"/>
            <color indexed="81"/>
            <rFont val="Tahoma"/>
            <family val="2"/>
          </rPr>
          <t>It's taken from business plan</t>
        </r>
      </text>
    </comment>
    <comment ref="D9" authorId="0" shapeId="0" xr:uid="{00000000-0006-0000-0F00-000008000000}">
      <text>
        <r>
          <rPr>
            <sz val="9"/>
            <color indexed="81"/>
            <rFont val="Tahoma"/>
            <family val="2"/>
          </rPr>
          <t xml:space="preserve">we suppose that the product price is a fixed data. </t>
        </r>
        <r>
          <rPr>
            <u/>
            <sz val="9"/>
            <color indexed="81"/>
            <rFont val="Tahoma"/>
            <family val="2"/>
          </rPr>
          <t>It's taken from business plan</t>
        </r>
      </text>
    </comment>
    <comment ref="E9" authorId="0" shapeId="0" xr:uid="{00000000-0006-0000-0F00-000009000000}">
      <text>
        <r>
          <rPr>
            <sz val="9"/>
            <color indexed="81"/>
            <rFont val="Tahoma"/>
            <family val="2"/>
          </rPr>
          <t xml:space="preserve">we suppose that the product price is a fixed data. </t>
        </r>
        <r>
          <rPr>
            <u/>
            <sz val="9"/>
            <color indexed="81"/>
            <rFont val="Tahoma"/>
            <family val="2"/>
          </rPr>
          <t>It's taken from business plan</t>
        </r>
      </text>
    </comment>
    <comment ref="F9" authorId="0" shapeId="0" xr:uid="{00000000-0006-0000-0F00-00000A000000}">
      <text>
        <r>
          <rPr>
            <sz val="9"/>
            <color indexed="81"/>
            <rFont val="Tahoma"/>
            <family val="2"/>
          </rPr>
          <t xml:space="preserve">we suppose that the product price is a fixed data. </t>
        </r>
        <r>
          <rPr>
            <u/>
            <sz val="9"/>
            <color indexed="81"/>
            <rFont val="Tahoma"/>
            <family val="2"/>
          </rPr>
          <t>It's taken from business plan</t>
        </r>
      </text>
    </comment>
    <comment ref="B11" authorId="0" shapeId="0" xr:uid="{00000000-0006-0000-0F00-00000B000000}">
      <text>
        <r>
          <rPr>
            <sz val="9"/>
            <color indexed="81"/>
            <rFont val="Tahoma"/>
            <family val="2"/>
          </rPr>
          <t>Data from the Income Statement.</t>
        </r>
      </text>
    </comment>
    <comment ref="C11" authorId="0" shapeId="0" xr:uid="{00000000-0006-0000-0F00-00000C000000}">
      <text>
        <r>
          <rPr>
            <sz val="9"/>
            <color indexed="81"/>
            <rFont val="Tahoma"/>
            <family val="2"/>
          </rPr>
          <t>Data from the Income Statement.</t>
        </r>
      </text>
    </comment>
    <comment ref="D11" authorId="0" shapeId="0" xr:uid="{00000000-0006-0000-0F00-00000D000000}">
      <text>
        <r>
          <rPr>
            <sz val="9"/>
            <color indexed="81"/>
            <rFont val="Tahoma"/>
            <family val="2"/>
          </rPr>
          <t>Data from the Income Statement.</t>
        </r>
      </text>
    </comment>
    <comment ref="E11" authorId="0" shapeId="0" xr:uid="{00000000-0006-0000-0F00-00000E000000}">
      <text>
        <r>
          <rPr>
            <sz val="9"/>
            <color indexed="81"/>
            <rFont val="Tahoma"/>
            <family val="2"/>
          </rPr>
          <t>Data from the Income Statement.</t>
        </r>
      </text>
    </comment>
    <comment ref="F11" authorId="0" shapeId="0" xr:uid="{00000000-0006-0000-0F00-00000F000000}">
      <text>
        <r>
          <rPr>
            <sz val="9"/>
            <color indexed="81"/>
            <rFont val="Tahoma"/>
            <family val="2"/>
          </rPr>
          <t>Data from the Income Statement.</t>
        </r>
      </text>
    </comment>
    <comment ref="B12" authorId="0" shapeId="0" xr:uid="{00000000-0006-0000-0F00-000010000000}">
      <text>
        <r>
          <rPr>
            <sz val="9"/>
            <color indexed="81"/>
            <rFont val="Tahoma"/>
            <family val="2"/>
          </rPr>
          <t>Data from the business plan.</t>
        </r>
      </text>
    </comment>
    <comment ref="C12" authorId="0" shapeId="0" xr:uid="{00000000-0006-0000-0F00-000011000000}">
      <text>
        <r>
          <rPr>
            <sz val="9"/>
            <color indexed="81"/>
            <rFont val="Tahoma"/>
            <family val="2"/>
          </rPr>
          <t>Data from the business plan.</t>
        </r>
      </text>
    </comment>
    <comment ref="D12" authorId="0" shapeId="0" xr:uid="{00000000-0006-0000-0F00-000012000000}">
      <text>
        <r>
          <rPr>
            <sz val="9"/>
            <color indexed="81"/>
            <rFont val="Tahoma"/>
            <family val="2"/>
          </rPr>
          <t>Data from the business plan.</t>
        </r>
      </text>
    </comment>
    <comment ref="E12" authorId="0" shapeId="0" xr:uid="{00000000-0006-0000-0F00-000013000000}">
      <text>
        <r>
          <rPr>
            <sz val="9"/>
            <color indexed="81"/>
            <rFont val="Tahoma"/>
            <family val="2"/>
          </rPr>
          <t>Data from the business plan.</t>
        </r>
      </text>
    </comment>
    <comment ref="F12" authorId="0" shapeId="0" xr:uid="{00000000-0006-0000-0F00-000014000000}">
      <text>
        <r>
          <rPr>
            <sz val="9"/>
            <color indexed="81"/>
            <rFont val="Tahoma"/>
            <family val="2"/>
          </rPr>
          <t>Data from the business plan.</t>
        </r>
      </text>
    </comment>
    <comment ref="B14" authorId="0" shapeId="0" xr:uid="{00000000-0006-0000-0F00-000015000000}">
      <text>
        <r>
          <rPr>
            <sz val="9"/>
            <color indexed="81"/>
            <rFont val="Tahoma"/>
            <family val="2"/>
          </rPr>
          <t>Data from the business plan.</t>
        </r>
      </text>
    </comment>
    <comment ref="C14" authorId="0" shapeId="0" xr:uid="{00000000-0006-0000-0F00-000016000000}">
      <text>
        <r>
          <rPr>
            <sz val="9"/>
            <color indexed="81"/>
            <rFont val="Tahoma"/>
            <family val="2"/>
          </rPr>
          <t>Data from the business plan.</t>
        </r>
      </text>
    </comment>
    <comment ref="D14" authorId="0" shapeId="0" xr:uid="{00000000-0006-0000-0F00-000017000000}">
      <text>
        <r>
          <rPr>
            <sz val="9"/>
            <color indexed="81"/>
            <rFont val="Tahoma"/>
            <family val="2"/>
          </rPr>
          <t>Data from the business plan.</t>
        </r>
      </text>
    </comment>
    <comment ref="E14" authorId="0" shapeId="0" xr:uid="{00000000-0006-0000-0F00-000018000000}">
      <text>
        <r>
          <rPr>
            <sz val="9"/>
            <color indexed="81"/>
            <rFont val="Tahoma"/>
            <family val="2"/>
          </rPr>
          <t>Data from the business plan.</t>
        </r>
      </text>
    </comment>
    <comment ref="F14" authorId="0" shapeId="0" xr:uid="{00000000-0006-0000-0F00-000019000000}">
      <text>
        <r>
          <rPr>
            <sz val="9"/>
            <color indexed="81"/>
            <rFont val="Tahoma"/>
            <family val="2"/>
          </rPr>
          <t>Data from the business plan.</t>
        </r>
      </text>
    </comment>
    <comment ref="A17" authorId="0" shapeId="0" xr:uid="{00000000-0006-0000-0F00-00001A000000}">
      <text>
        <r>
          <rPr>
            <b/>
            <sz val="9"/>
            <color indexed="81"/>
            <rFont val="Tahoma"/>
            <family val="2"/>
          </rPr>
          <t>Degree of Operating Leverage = (Total Revenue - Total Variable Costs) / (Total Revenue - Total Variable Costs - Fixed Costs) = Contribution Margin / Operating Result (EBIT)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ALESSANDRO</author>
  </authors>
  <commentList>
    <comment ref="C12" authorId="0" shapeId="0" xr:uid="{00000000-0006-0000-1000-000001000000}">
      <text>
        <r>
          <rPr>
            <sz val="9"/>
            <color indexed="81"/>
            <rFont val="Tahoma"/>
            <family val="2"/>
          </rPr>
          <t>Data from the Income Statement of this venture.
We suppose that the structure of costs doesn't change.</t>
        </r>
      </text>
    </comment>
    <comment ref="D12" authorId="0" shapeId="0" xr:uid="{00000000-0006-0000-1000-000002000000}">
      <text>
        <r>
          <rPr>
            <sz val="9"/>
            <color indexed="81"/>
            <rFont val="Tahoma"/>
            <family val="2"/>
          </rPr>
          <t>Data from the Income Statement of this venture.
We suppose that the structure of costs doesn't change.</t>
        </r>
      </text>
    </comment>
    <comment ref="E12" authorId="0" shapeId="0" xr:uid="{00000000-0006-0000-1000-000003000000}">
      <text>
        <r>
          <rPr>
            <sz val="9"/>
            <color indexed="81"/>
            <rFont val="Tahoma"/>
            <family val="2"/>
          </rPr>
          <t>Data from the Income Statement of this venture.
We suppose that the structure of costs doesn't change.</t>
        </r>
      </text>
    </comment>
    <comment ref="F12" authorId="0" shapeId="0" xr:uid="{00000000-0006-0000-1000-000004000000}">
      <text>
        <r>
          <rPr>
            <sz val="9"/>
            <color indexed="81"/>
            <rFont val="Tahoma"/>
            <family val="2"/>
          </rPr>
          <t>Data from the Income Statement of this venture.
We suppose that the structure of costs doesn't change.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ALESSANDRO</author>
  </authors>
  <commentList>
    <comment ref="C45" authorId="0" shapeId="0" xr:uid="{00000000-0006-0000-1B00-000001000000}">
      <text>
        <r>
          <rPr>
            <b/>
            <sz val="9"/>
            <color indexed="81"/>
            <rFont val="Tahoma"/>
            <family val="2"/>
          </rPr>
          <t xml:space="preserve"> Net Cash Flow </t>
        </r>
        <r>
          <rPr>
            <sz val="9"/>
            <color indexed="81"/>
            <rFont val="Tahoma"/>
            <family val="2"/>
          </rPr>
          <t>(or</t>
        </r>
        <r>
          <rPr>
            <b/>
            <sz val="9"/>
            <color indexed="81"/>
            <rFont val="Tahoma"/>
            <family val="2"/>
          </rPr>
          <t xml:space="preserve"> </t>
        </r>
        <r>
          <rPr>
            <sz val="9"/>
            <color indexed="81"/>
            <rFont val="Tahoma"/>
            <family val="2"/>
          </rPr>
          <t xml:space="preserve">Leverage Cash Flow).
</t>
        </r>
        <r>
          <rPr>
            <u/>
            <sz val="9"/>
            <color indexed="81"/>
            <rFont val="Tahoma"/>
            <family val="2"/>
          </rPr>
          <t xml:space="preserve">Data from the "Cash Flow sheet" of the year X.
</t>
        </r>
      </text>
    </comment>
    <comment ref="D45" authorId="0" shapeId="0" xr:uid="{00000000-0006-0000-1B00-000002000000}">
      <text>
        <r>
          <rPr>
            <b/>
            <sz val="9"/>
            <color indexed="81"/>
            <rFont val="Tahoma"/>
            <family val="2"/>
          </rPr>
          <t xml:space="preserve"> Net Cash Flow </t>
        </r>
        <r>
          <rPr>
            <sz val="9"/>
            <color indexed="81"/>
            <rFont val="Tahoma"/>
            <family val="2"/>
          </rPr>
          <t xml:space="preserve">(or Leverage Cash Flow).
</t>
        </r>
        <r>
          <rPr>
            <u/>
            <sz val="9"/>
            <color indexed="81"/>
            <rFont val="Tahoma"/>
            <family val="2"/>
          </rPr>
          <t>Data from the "Cash Flow sheet" of the year X+1</t>
        </r>
        <r>
          <rPr>
            <sz val="9"/>
            <color indexed="81"/>
            <rFont val="Tahoma"/>
            <family val="2"/>
          </rPr>
          <t>.</t>
        </r>
        <r>
          <rPr>
            <b/>
            <sz val="9"/>
            <color indexed="81"/>
            <rFont val="Tahoma"/>
            <family val="2"/>
          </rPr>
          <t xml:space="preserve">
</t>
        </r>
      </text>
    </comment>
    <comment ref="E45" authorId="0" shapeId="0" xr:uid="{00000000-0006-0000-1B00-000003000000}">
      <text>
        <r>
          <rPr>
            <b/>
            <sz val="9"/>
            <color indexed="81"/>
            <rFont val="Tahoma"/>
            <family val="2"/>
          </rPr>
          <t xml:space="preserve"> Net Cash Flow </t>
        </r>
        <r>
          <rPr>
            <sz val="9"/>
            <color indexed="81"/>
            <rFont val="Tahoma"/>
            <family val="2"/>
          </rPr>
          <t xml:space="preserve">(or Leverage Cash Flow).
</t>
        </r>
        <r>
          <rPr>
            <u/>
            <sz val="9"/>
            <color indexed="81"/>
            <rFont val="Tahoma"/>
            <family val="2"/>
          </rPr>
          <t xml:space="preserve">Data from the "Cash Flow sheet" of the year X+2.
</t>
        </r>
      </text>
    </comment>
    <comment ref="H45" authorId="0" shapeId="0" xr:uid="{00000000-0006-0000-1B00-000004000000}">
      <text>
        <r>
          <rPr>
            <b/>
            <sz val="9"/>
            <color indexed="81"/>
            <rFont val="Tahoma"/>
            <family val="2"/>
          </rPr>
          <t>Terminal Value</t>
        </r>
      </text>
    </comment>
    <comment ref="C47" authorId="0" shapeId="0" xr:uid="{00000000-0006-0000-1B00-000005000000}">
      <text>
        <r>
          <rPr>
            <sz val="9"/>
            <color indexed="81"/>
            <rFont val="Tahoma"/>
            <family val="2"/>
          </rPr>
          <t>it's calculate as 
(1+R</t>
        </r>
        <r>
          <rPr>
            <sz val="8"/>
            <color indexed="81"/>
            <rFont val="Tahoma"/>
            <family val="2"/>
          </rPr>
          <t>e</t>
        </r>
        <r>
          <rPr>
            <sz val="9"/>
            <color indexed="81"/>
            <rFont val="Tahoma"/>
            <family val="2"/>
          </rPr>
          <t xml:space="preserve">)^t.
t=1 because it's referred to cash flow of the first year.
</t>
        </r>
      </text>
    </comment>
    <comment ref="D47" authorId="0" shapeId="0" xr:uid="{00000000-0006-0000-1B00-000006000000}">
      <text>
        <r>
          <rPr>
            <sz val="9"/>
            <color indexed="81"/>
            <rFont val="Tahoma"/>
            <family val="2"/>
          </rPr>
          <t>it's calculate as 
(1+Re)^t.
t=2 because it's referred to cash flow of the second year.</t>
        </r>
      </text>
    </comment>
    <comment ref="E47" authorId="0" shapeId="0" xr:uid="{00000000-0006-0000-1B00-000007000000}">
      <text>
        <r>
          <rPr>
            <sz val="9"/>
            <color indexed="81"/>
            <rFont val="Tahoma"/>
            <family val="2"/>
          </rPr>
          <t>it's calculate as 
(1+Re)^t.
t=3 because it's referred to cash flow of the third year.</t>
        </r>
      </text>
    </comment>
    <comment ref="B60" authorId="0" shapeId="0" xr:uid="{00000000-0006-0000-1B00-000008000000}">
      <text>
        <r>
          <rPr>
            <sz val="9"/>
            <color indexed="81"/>
            <rFont val="Tahoma"/>
            <family val="2"/>
          </rPr>
          <t>Data taken from Bloomberg.</t>
        </r>
      </text>
    </comment>
    <comment ref="D84" authorId="0" shapeId="0" xr:uid="{00000000-0006-0000-1B00-000009000000}">
      <text>
        <r>
          <rPr>
            <b/>
            <sz val="9"/>
            <color indexed="81"/>
            <rFont val="Tahoma"/>
            <family val="2"/>
          </rPr>
          <t xml:space="preserve">Operating Cash Flow </t>
        </r>
        <r>
          <rPr>
            <sz val="9"/>
            <color indexed="81"/>
            <rFont val="Tahoma"/>
            <family val="2"/>
          </rPr>
          <t xml:space="preserve">(or Unleverage Cash Flow).
</t>
        </r>
        <r>
          <rPr>
            <i/>
            <u/>
            <sz val="9"/>
            <color indexed="81"/>
            <rFont val="Tahoma"/>
            <family val="2"/>
          </rPr>
          <t>Data from the "Cash Flow sheet</t>
        </r>
        <r>
          <rPr>
            <u/>
            <sz val="9"/>
            <color indexed="81"/>
            <rFont val="Tahoma"/>
            <family val="2"/>
          </rPr>
          <t>" (year X)</t>
        </r>
        <r>
          <rPr>
            <b/>
            <sz val="9"/>
            <color indexed="81"/>
            <rFont val="Tahoma"/>
            <family val="2"/>
          </rPr>
          <t xml:space="preserve"> plus start-up expenses (investing activities + other non-operating expenses).</t>
        </r>
      </text>
    </comment>
    <comment ref="E84" authorId="0" shapeId="0" xr:uid="{00000000-0006-0000-1B00-00000A000000}">
      <text>
        <r>
          <rPr>
            <sz val="9"/>
            <color indexed="81"/>
            <rFont val="Tahoma"/>
            <family val="2"/>
          </rPr>
          <t>Operating Cash Flow (or Unleverage Cash Flow).
Data from the "Cash Flow sheet" (year X+1).</t>
        </r>
      </text>
    </comment>
    <comment ref="F84" authorId="0" shapeId="0" xr:uid="{00000000-0006-0000-1B00-00000B000000}">
      <text>
        <r>
          <rPr>
            <sz val="9"/>
            <color indexed="81"/>
            <rFont val="Tahoma"/>
            <family val="2"/>
          </rPr>
          <t>Operating Cash Flow (or Unleverage Cash Flow).
Data from the "Cash Flow sheet" (year X+2).</t>
        </r>
      </text>
    </comment>
    <comment ref="G84" authorId="0" shapeId="0" xr:uid="{00000000-0006-0000-1B00-00000C000000}">
      <text>
        <r>
          <rPr>
            <b/>
            <sz val="9"/>
            <color indexed="81"/>
            <rFont val="Tahoma"/>
            <family val="2"/>
          </rPr>
          <t>Terminal Value</t>
        </r>
      </text>
    </comment>
    <comment ref="D86" authorId="0" shapeId="0" xr:uid="{00000000-0006-0000-1B00-00000D000000}">
      <text>
        <r>
          <rPr>
            <sz val="9"/>
            <color indexed="81"/>
            <rFont val="Tahoma"/>
            <family val="2"/>
          </rPr>
          <t xml:space="preserve">it's calculate as 
(1+WACC)^t.
t=1 because it's referred to cash flow of the first year.
</t>
        </r>
      </text>
    </comment>
    <comment ref="E86" authorId="0" shapeId="0" xr:uid="{00000000-0006-0000-1B00-00000E000000}">
      <text>
        <r>
          <rPr>
            <sz val="9"/>
            <color indexed="81"/>
            <rFont val="Tahoma"/>
            <family val="2"/>
          </rPr>
          <t>it's calculate as 
(1+WACC)^t.
t=2 because it's referred to cash flow of the second year.</t>
        </r>
      </text>
    </comment>
    <comment ref="F86" authorId="0" shapeId="0" xr:uid="{00000000-0006-0000-1B00-00000F000000}">
      <text>
        <r>
          <rPr>
            <sz val="9"/>
            <color indexed="81"/>
            <rFont val="Tahoma"/>
            <family val="2"/>
          </rPr>
          <t>it's calculate as 
(1+WACC)^t.
t=3 because it's referred to cash flow of the third year.</t>
        </r>
      </text>
    </comment>
    <comment ref="G86" authorId="0" shapeId="0" xr:uid="{00000000-0006-0000-1B00-000010000000}">
      <text>
        <r>
          <rPr>
            <sz val="9"/>
            <color indexed="81"/>
            <rFont val="Tahoma"/>
            <family val="2"/>
          </rPr>
          <t>it's calculate as 
(1+Re)^t.
t=3 because it's discounted at the third year.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B25" authorId="0" shapeId="0" xr:uid="{00000000-0006-0000-2200-000001000000}">
      <text>
        <r>
          <rPr>
            <b/>
            <sz val="9"/>
            <color indexed="81"/>
            <rFont val="Times"/>
          </rPr>
          <t>Aswath Damodaran:</t>
        </r>
        <r>
          <rPr>
            <sz val="9"/>
            <color indexed="81"/>
            <rFont val="Times"/>
          </rPr>
          <t xml:space="preserve">
If you set your perpetual growth rate at any number greater than zero, this should be no.</t>
        </r>
      </text>
    </comment>
    <comment ref="B27" authorId="0" shapeId="0" xr:uid="{00000000-0006-0000-2200-000002000000}">
      <text>
        <r>
          <rPr>
            <b/>
            <sz val="9"/>
            <color indexed="81"/>
            <rFont val="Times"/>
          </rPr>
          <t>Aswath Damodaran:</t>
        </r>
        <r>
          <rPr>
            <sz val="9"/>
            <color indexed="81"/>
            <rFont val="Times"/>
          </rPr>
          <t xml:space="preserve">
Your reinvestment rate should be consistent with your growth rate assumptions. If you answer yes to this question, you should enter the return on equity below.</t>
        </r>
      </text>
    </comment>
  </commentList>
</comments>
</file>

<file path=xl/sharedStrings.xml><?xml version="1.0" encoding="utf-8"?>
<sst xmlns="http://schemas.openxmlformats.org/spreadsheetml/2006/main" count="3643" uniqueCount="2132">
  <si>
    <t>EURIBOR</t>
  </si>
  <si>
    <t>country/region</t>
  </si>
  <si>
    <t>China</t>
  </si>
  <si>
    <t>Great Britain</t>
  </si>
  <si>
    <t>South Korea</t>
  </si>
  <si>
    <t>The Netherlands</t>
  </si>
  <si>
    <t>Europe</t>
  </si>
  <si>
    <t>Summary of current interest rates of a large number of central banks</t>
  </si>
  <si>
    <t xml:space="preserve"> Name of interest rate</t>
  </si>
  <si>
    <t>current rate</t>
  </si>
  <si>
    <t>direction</t>
  </si>
  <si>
    <t>previous rate</t>
  </si>
  <si>
    <t>change</t>
  </si>
  <si>
    <t>http://www.global-rates.com/interest-rates/central-banks/central-banks.aspx</t>
  </si>
  <si>
    <t>BANK INTEREST RATES</t>
  </si>
  <si>
    <t>http://www.global-rates.com/economic-indicators/inflation/consumer-prices/cpi/cpi.aspx</t>
  </si>
  <si>
    <t>year X</t>
  </si>
  <si>
    <t>year X+1</t>
  </si>
  <si>
    <t>year X+2</t>
  </si>
  <si>
    <t>year X+3</t>
  </si>
  <si>
    <t>year X+4</t>
  </si>
  <si>
    <t>What happens when there is a change in quantity sold?</t>
  </si>
  <si>
    <r>
      <t xml:space="preserve">We analyze the effects of a  ∆  Quantity Sold on the Cash Flow of this venture </t>
    </r>
    <r>
      <rPr>
        <i/>
        <u/>
        <sz val="10"/>
        <rFont val="Arial"/>
        <family val="2"/>
      </rPr>
      <t>getting back the hypothesis done in "Effect of Operating Leverage</t>
    </r>
    <r>
      <rPr>
        <i/>
        <sz val="10"/>
        <rFont val="Arial"/>
        <family val="2"/>
      </rPr>
      <t>"</t>
    </r>
    <r>
      <rPr>
        <sz val="10"/>
        <rFont val="Arial"/>
      </rPr>
      <t>.</t>
    </r>
  </si>
  <si>
    <t>It is a concise presentation of the main points of the business plan; it is a kind of abstract that gives a brief overview of the business venture. It should describe:</t>
  </si>
  <si>
    <t>Understanding industries and markets</t>
  </si>
  <si>
    <t>The industry is the group that produces and sells products or services to the market; it defines your competitors.</t>
  </si>
  <si>
    <t>The market is where your product or service will be sold; it determines your opportunity and your customers.</t>
  </si>
  <si>
    <t>The area of intersection represents your business opportunity.</t>
  </si>
  <si>
    <t>Asking the right question</t>
  </si>
  <si>
    <t>Defining existing products and services</t>
  </si>
  <si>
    <t>Sizing the industry</t>
  </si>
  <si>
    <t>What is the size and shape of the industry? Ask questions such as:</t>
  </si>
  <si>
    <t>Identifying important trends</t>
  </si>
  <si>
    <t>Anticipating barriers to entry</t>
  </si>
  <si>
    <t>What are the obstacles that could block you from entering this industry? Ask:</t>
  </si>
  <si>
    <t>Identifying your competitors</t>
  </si>
  <si>
    <t>Who solve the same problems for the customer that you intend to solve.</t>
  </si>
  <si>
    <t>Identify major competitors, their products and services, and their strengths and weakness.</t>
  </si>
  <si>
    <t>Distinguishing your business from the rivals</t>
  </si>
  <si>
    <t>Assessing threats from the competition</t>
  </si>
  <si>
    <t>How much of a threat are your competitors to your venture? Could they have a reaction?</t>
  </si>
  <si>
    <t>Indicate how large the market for your offering is and how fast the market demand for your products or service growths.</t>
  </si>
  <si>
    <t>Defining your target market</t>
  </si>
  <si>
    <t>Articulating your value proposition</t>
  </si>
  <si>
    <t>Using your marketing plan as a road map</t>
  </si>
  <si>
    <t>Your marketing plan serves as kind of road map describing how you intend to sell your product or service.</t>
  </si>
  <si>
    <t>Developing your marketing plan</t>
  </si>
  <si>
    <t>Start to by looking the key factors affecting the marketing of your product or service. Specifically:</t>
  </si>
  <si>
    <t>So, the management summary is an important section of the business plan, one that many of your readers will turn to first.</t>
  </si>
  <si>
    <t>Introducing the team as a unit</t>
  </si>
  <si>
    <t>Show how this is the right to manage the business and the risks by:</t>
  </si>
  <si>
    <t>Articulating your assumptions</t>
  </si>
  <si>
    <t>Conducting breakeven analysis for sales</t>
  </si>
  <si>
    <t>Assessing risk and reward</t>
  </si>
  <si>
    <t>Anticipating financial returns</t>
  </si>
  <si>
    <t>ROI=net operating income / total investments</t>
  </si>
  <si>
    <t>To calculate an IRR of 50 per cent (the return an investor might expect for a risky investment), use the following formula:</t>
  </si>
  <si>
    <r>
      <t>I</t>
    </r>
    <r>
      <rPr>
        <b/>
        <i/>
        <u/>
        <sz val="14"/>
        <rFont val="Calibri"/>
        <family val="2"/>
      </rPr>
      <t>ntroduction</t>
    </r>
  </si>
  <si>
    <r>
      <t>·</t>
    </r>
    <r>
      <rPr>
        <sz val="7"/>
        <rFont val="Times New Roman"/>
        <family val="1"/>
      </rPr>
      <t xml:space="preserve">         </t>
    </r>
    <r>
      <rPr>
        <sz val="12"/>
        <rFont val="Calibri"/>
      </rPr>
      <t>To invest in your new idea or in an existing business?</t>
    </r>
  </si>
  <si>
    <r>
      <t>·</t>
    </r>
    <r>
      <rPr>
        <sz val="7"/>
        <rFont val="Times New Roman"/>
        <family val="1"/>
      </rPr>
      <t xml:space="preserve">         </t>
    </r>
    <r>
      <rPr>
        <sz val="12"/>
        <rFont val="Calibri"/>
      </rPr>
      <t>To buy your business?</t>
    </r>
  </si>
  <si>
    <r>
      <t>·</t>
    </r>
    <r>
      <rPr>
        <sz val="7"/>
        <rFont val="Times New Roman"/>
        <family val="1"/>
      </rPr>
      <t xml:space="preserve">         </t>
    </r>
    <r>
      <rPr>
        <sz val="12"/>
        <rFont val="Calibri"/>
      </rPr>
      <t>To enter a joint venture?</t>
    </r>
  </si>
  <si>
    <r>
      <t>·</t>
    </r>
    <r>
      <rPr>
        <sz val="7"/>
        <rFont val="Times New Roman"/>
        <family val="1"/>
      </rPr>
      <t xml:space="preserve">         </t>
    </r>
    <r>
      <rPr>
        <sz val="12"/>
        <rFont val="Calibri"/>
      </rPr>
      <t>To carry out a contract?</t>
    </r>
  </si>
  <si>
    <r>
      <t>·</t>
    </r>
    <r>
      <rPr>
        <sz val="7"/>
        <rFont val="Times New Roman"/>
        <family val="1"/>
      </rPr>
      <t xml:space="preserve">         </t>
    </r>
    <r>
      <rPr>
        <sz val="12"/>
        <rFont val="Calibri"/>
      </rPr>
      <t>To give you a grant or a regulatory approval?</t>
    </r>
  </si>
  <si>
    <r>
      <t>·</t>
    </r>
    <r>
      <rPr>
        <sz val="7"/>
        <rFont val="Times New Roman"/>
        <family val="1"/>
      </rPr>
      <t xml:space="preserve">         </t>
    </r>
    <r>
      <rPr>
        <sz val="12"/>
        <rFont val="Calibri"/>
      </rPr>
      <t>The beginning tells the background to your business and how you got here, outlining the business, management, market, etc. ;</t>
    </r>
  </si>
  <si>
    <r>
      <t>·</t>
    </r>
    <r>
      <rPr>
        <sz val="7"/>
        <rFont val="Times New Roman"/>
        <family val="1"/>
      </rPr>
      <t xml:space="preserve">         </t>
    </r>
    <r>
      <rPr>
        <sz val="12"/>
        <rFont val="Calibri"/>
      </rPr>
      <t>The middle explains what is special about your ideas and sets out the proposal itself;</t>
    </r>
  </si>
  <si>
    <r>
      <t>·</t>
    </r>
    <r>
      <rPr>
        <sz val="7"/>
        <rFont val="Times New Roman"/>
        <family val="1"/>
      </rPr>
      <t xml:space="preserve">         </t>
    </r>
    <r>
      <rPr>
        <sz val="12"/>
        <rFont val="Calibri"/>
      </rPr>
      <t>The end ask for what you need to carry out the plan, points to the risks but explains how they will be dealt with and highlights the rewards.</t>
    </r>
  </si>
  <si>
    <r>
      <t>1.</t>
    </r>
    <r>
      <rPr>
        <sz val="7"/>
        <rFont val="Times New Roman"/>
        <family val="1"/>
      </rPr>
      <t xml:space="preserve">      </t>
    </r>
    <r>
      <rPr>
        <i/>
        <sz val="12"/>
        <rFont val="Calibri"/>
        <family val="2"/>
      </rPr>
      <t>Cover page and table of contents;</t>
    </r>
  </si>
  <si>
    <r>
      <t>2.</t>
    </r>
    <r>
      <rPr>
        <sz val="7"/>
        <rFont val="Times New Roman"/>
        <family val="1"/>
      </rPr>
      <t xml:space="preserve">      </t>
    </r>
    <r>
      <rPr>
        <i/>
        <sz val="12"/>
        <rFont val="Calibri"/>
        <family val="2"/>
      </rPr>
      <t>Executive summary;</t>
    </r>
  </si>
  <si>
    <r>
      <t>3.</t>
    </r>
    <r>
      <rPr>
        <sz val="7"/>
        <rFont val="Times New Roman"/>
        <family val="1"/>
      </rPr>
      <t xml:space="preserve">      </t>
    </r>
    <r>
      <rPr>
        <i/>
        <sz val="12"/>
        <rFont val="Calibri"/>
        <family val="2"/>
      </rPr>
      <t>Business description;</t>
    </r>
  </si>
  <si>
    <r>
      <t>4.</t>
    </r>
    <r>
      <rPr>
        <sz val="7"/>
        <rFont val="Times New Roman"/>
        <family val="1"/>
      </rPr>
      <t xml:space="preserve">      </t>
    </r>
    <r>
      <rPr>
        <i/>
        <sz val="12"/>
        <rFont val="Calibri"/>
        <family val="2"/>
      </rPr>
      <t>Business environment analysis;</t>
    </r>
  </si>
  <si>
    <r>
      <t>5.</t>
    </r>
    <r>
      <rPr>
        <sz val="7"/>
        <rFont val="Times New Roman"/>
        <family val="1"/>
      </rPr>
      <t xml:space="preserve">      </t>
    </r>
    <r>
      <rPr>
        <i/>
        <sz val="12"/>
        <rFont val="Calibri"/>
        <family val="2"/>
      </rPr>
      <t>Industry background;</t>
    </r>
  </si>
  <si>
    <r>
      <t>6.</t>
    </r>
    <r>
      <rPr>
        <sz val="7"/>
        <rFont val="Times New Roman"/>
        <family val="1"/>
      </rPr>
      <t xml:space="preserve">      </t>
    </r>
    <r>
      <rPr>
        <i/>
        <sz val="12"/>
        <rFont val="Calibri"/>
        <family val="2"/>
      </rPr>
      <t>Competitive analysis;</t>
    </r>
  </si>
  <si>
    <r>
      <t>7.</t>
    </r>
    <r>
      <rPr>
        <sz val="7"/>
        <rFont val="Times New Roman"/>
        <family val="1"/>
      </rPr>
      <t xml:space="preserve">      </t>
    </r>
    <r>
      <rPr>
        <i/>
        <sz val="12"/>
        <rFont val="Calibri"/>
        <family val="2"/>
      </rPr>
      <t>Market analysis;</t>
    </r>
  </si>
  <si>
    <r>
      <t>8.</t>
    </r>
    <r>
      <rPr>
        <sz val="7"/>
        <rFont val="Times New Roman"/>
        <family val="1"/>
      </rPr>
      <t xml:space="preserve">      </t>
    </r>
    <r>
      <rPr>
        <i/>
        <sz val="12"/>
        <rFont val="Calibri"/>
        <family val="2"/>
      </rPr>
      <t>Marketing plan;</t>
    </r>
  </si>
  <si>
    <r>
      <t>9.</t>
    </r>
    <r>
      <rPr>
        <sz val="7"/>
        <rFont val="Times New Roman"/>
        <family val="1"/>
      </rPr>
      <t xml:space="preserve">      </t>
    </r>
    <r>
      <rPr>
        <i/>
        <sz val="12"/>
        <rFont val="Calibri"/>
        <family val="2"/>
      </rPr>
      <t>Operations plan;</t>
    </r>
  </si>
  <si>
    <r>
      <t>10.</t>
    </r>
    <r>
      <rPr>
        <sz val="7"/>
        <rFont val="Times New Roman"/>
        <family val="1"/>
      </rPr>
      <t xml:space="preserve">  </t>
    </r>
    <r>
      <rPr>
        <i/>
        <sz val="12"/>
        <rFont val="Calibri"/>
        <family val="2"/>
      </rPr>
      <t>Management summary;</t>
    </r>
  </si>
  <si>
    <r>
      <t>11.</t>
    </r>
    <r>
      <rPr>
        <sz val="7"/>
        <rFont val="Times New Roman"/>
        <family val="1"/>
      </rPr>
      <t xml:space="preserve">  </t>
    </r>
    <r>
      <rPr>
        <i/>
        <sz val="12"/>
        <rFont val="Calibri"/>
        <family val="2"/>
      </rPr>
      <t>Financial plan;</t>
    </r>
  </si>
  <si>
    <r>
      <t>12.</t>
    </r>
    <r>
      <rPr>
        <sz val="7"/>
        <rFont val="Times New Roman"/>
        <family val="1"/>
      </rPr>
      <t xml:space="preserve">  </t>
    </r>
    <r>
      <rPr>
        <i/>
        <sz val="12"/>
        <rFont val="Calibri"/>
        <family val="2"/>
      </rPr>
      <t>Appendices.</t>
    </r>
  </si>
  <si>
    <r>
      <t xml:space="preserve">1 </t>
    </r>
    <r>
      <rPr>
        <b/>
        <i/>
        <u/>
        <sz val="14"/>
        <rFont val="Calibri"/>
        <family val="2"/>
      </rPr>
      <t>Cover page and Table of Contents</t>
    </r>
  </si>
  <si>
    <r>
      <t>The cover page is the first thing your audience will see; it’s like a newspaper headline that gives readers the quick information they</t>
    </r>
    <r>
      <rPr>
        <b/>
        <i/>
        <sz val="12"/>
        <rFont val="Calibri"/>
        <family val="2"/>
      </rPr>
      <t xml:space="preserve"> </t>
    </r>
    <r>
      <rPr>
        <sz val="12"/>
        <rFont val="Calibri"/>
      </rPr>
      <t>need.</t>
    </r>
  </si>
  <si>
    <r>
      <t>·</t>
    </r>
    <r>
      <rPr>
        <sz val="7"/>
        <rFont val="Times New Roman"/>
        <family val="1"/>
      </rPr>
      <t xml:space="preserve">         </t>
    </r>
    <r>
      <rPr>
        <sz val="12"/>
        <rFont val="Calibri"/>
      </rPr>
      <t>Have a clean, professional appearance;</t>
    </r>
  </si>
  <si>
    <r>
      <t>·</t>
    </r>
    <r>
      <rPr>
        <sz val="7"/>
        <rFont val="Times New Roman"/>
        <family val="1"/>
      </rPr>
      <t xml:space="preserve">         </t>
    </r>
    <r>
      <rPr>
        <sz val="12"/>
        <rFont val="Calibri"/>
      </rPr>
      <t>Include the name of the business or project;</t>
    </r>
  </si>
  <si>
    <r>
      <t>·</t>
    </r>
    <r>
      <rPr>
        <sz val="7"/>
        <rFont val="Times New Roman"/>
        <family val="1"/>
      </rPr>
      <t xml:space="preserve">         </t>
    </r>
    <r>
      <rPr>
        <sz val="12"/>
        <rFont val="Calibri"/>
      </rPr>
      <t>Give your name and contact information;</t>
    </r>
  </si>
  <si>
    <t>They will also note the maneuverability of your plan – that is how easy it is to flip through the plan and quickly find the sections they want to read.</t>
  </si>
  <si>
    <r>
      <t xml:space="preserve">2 </t>
    </r>
    <r>
      <rPr>
        <b/>
        <i/>
        <u/>
        <sz val="14"/>
        <rFont val="Calibri"/>
        <family val="2"/>
      </rPr>
      <t>Executive summary</t>
    </r>
  </si>
  <si>
    <t xml:space="preserve">An executive summary may be the only section a reader uses to make a quick decision to the proposal, so it should fulfill reader’s expectations. </t>
  </si>
  <si>
    <r>
      <t>·</t>
    </r>
    <r>
      <rPr>
        <sz val="7"/>
        <rFont val="Times New Roman"/>
        <family val="1"/>
      </rPr>
      <t xml:space="preserve">         </t>
    </r>
    <r>
      <rPr>
        <i/>
        <sz val="12"/>
        <rFont val="Calibri"/>
        <family val="2"/>
      </rPr>
      <t>The mission and the vision</t>
    </r>
  </si>
  <si>
    <r>
      <t>·</t>
    </r>
    <r>
      <rPr>
        <sz val="7"/>
        <rFont val="Times New Roman"/>
        <family val="1"/>
      </rPr>
      <t xml:space="preserve">         </t>
    </r>
    <r>
      <rPr>
        <i/>
        <sz val="12"/>
        <rFont val="Calibri"/>
        <family val="2"/>
      </rPr>
      <t xml:space="preserve">The industry and market environment </t>
    </r>
    <r>
      <rPr>
        <sz val="12"/>
        <rFont val="Calibri"/>
      </rPr>
      <t>in which the opportunity will develop;</t>
    </r>
  </si>
  <si>
    <r>
      <t>·</t>
    </r>
    <r>
      <rPr>
        <sz val="7"/>
        <rFont val="Times New Roman"/>
        <family val="1"/>
      </rPr>
      <t xml:space="preserve">         </t>
    </r>
    <r>
      <rPr>
        <i/>
        <sz val="12"/>
        <rFont val="Calibri"/>
        <family val="2"/>
      </rPr>
      <t xml:space="preserve">The business opportunity </t>
    </r>
    <r>
      <rPr>
        <sz val="12"/>
        <rFont val="Calibri"/>
      </rPr>
      <t>– the costumer problem(s) your product or service will be solving;</t>
    </r>
  </si>
  <si>
    <r>
      <t>·</t>
    </r>
    <r>
      <rPr>
        <sz val="7"/>
        <rFont val="Times New Roman"/>
        <family val="1"/>
      </rPr>
      <t xml:space="preserve">         </t>
    </r>
    <r>
      <rPr>
        <i/>
        <sz val="12"/>
        <rFont val="Calibri"/>
        <family val="2"/>
      </rPr>
      <t xml:space="preserve">The financial aspect </t>
    </r>
    <r>
      <rPr>
        <sz val="12"/>
        <rFont val="Calibri"/>
      </rPr>
      <t>– The anticipated risk and reward of the business;</t>
    </r>
  </si>
  <si>
    <r>
      <t>·</t>
    </r>
    <r>
      <rPr>
        <sz val="7"/>
        <rFont val="Times New Roman"/>
        <family val="1"/>
      </rPr>
      <t xml:space="preserve">         </t>
    </r>
    <r>
      <rPr>
        <i/>
        <sz val="12"/>
        <rFont val="Calibri"/>
        <family val="2"/>
      </rPr>
      <t xml:space="preserve">The management team </t>
    </r>
    <r>
      <rPr>
        <sz val="12"/>
        <rFont val="Calibri"/>
      </rPr>
      <t>– the people who will achieve the results;</t>
    </r>
  </si>
  <si>
    <t>Executive summary as mission statements</t>
  </si>
  <si>
    <r>
      <t>3</t>
    </r>
    <r>
      <rPr>
        <b/>
        <i/>
        <u/>
        <sz val="14"/>
        <rFont val="Calibri"/>
        <family val="2"/>
      </rPr>
      <t>Business description</t>
    </r>
  </si>
  <si>
    <t>Introducing your business</t>
  </si>
  <si>
    <r>
      <t>·</t>
    </r>
    <r>
      <rPr>
        <sz val="7"/>
        <rFont val="Times New Roman"/>
        <family val="1"/>
      </rPr>
      <t xml:space="preserve">         </t>
    </r>
    <r>
      <rPr>
        <sz val="12"/>
        <rFont val="Calibri"/>
      </rPr>
      <t>Meet readers’ expectations by providing a realistic picture of the business venture and social aspects linked to it.</t>
    </r>
  </si>
  <si>
    <t>Incorporating the right detail</t>
  </si>
  <si>
    <t>Include information about the business, such as:</t>
  </si>
  <si>
    <r>
      <t>·</t>
    </r>
    <r>
      <rPr>
        <sz val="7"/>
        <rFont val="Times New Roman"/>
        <family val="1"/>
      </rPr>
      <t xml:space="preserve">         </t>
    </r>
    <r>
      <rPr>
        <sz val="12"/>
        <rFont val="Calibri"/>
      </rPr>
      <t>what the history of the concept or business it is;</t>
    </r>
  </si>
  <si>
    <r>
      <t>·</t>
    </r>
    <r>
      <rPr>
        <sz val="7"/>
        <rFont val="Times New Roman"/>
        <family val="1"/>
      </rPr>
      <t xml:space="preserve">         </t>
    </r>
    <r>
      <rPr>
        <sz val="12"/>
        <rFont val="Calibri"/>
      </rPr>
      <t>what market the business will serve;</t>
    </r>
  </si>
  <si>
    <r>
      <t>·</t>
    </r>
    <r>
      <rPr>
        <sz val="7"/>
        <rFont val="Times New Roman"/>
        <family val="1"/>
      </rPr>
      <t xml:space="preserve">         </t>
    </r>
    <r>
      <rPr>
        <sz val="12"/>
        <rFont val="Calibri"/>
      </rPr>
      <t>what product or service is;</t>
    </r>
  </si>
  <si>
    <r>
      <t>·</t>
    </r>
    <r>
      <rPr>
        <sz val="7"/>
        <rFont val="Times New Roman"/>
        <family val="1"/>
      </rPr>
      <t xml:space="preserve">         </t>
    </r>
    <r>
      <rPr>
        <sz val="12"/>
        <rFont val="Calibri"/>
      </rPr>
      <t>What problem will the product or service solve for customers and possible social implications;</t>
    </r>
  </si>
  <si>
    <r>
      <t>·</t>
    </r>
    <r>
      <rPr>
        <sz val="7"/>
        <rFont val="Times New Roman"/>
        <family val="1"/>
      </rPr>
      <t xml:space="preserve">         </t>
    </r>
    <r>
      <rPr>
        <sz val="12"/>
        <rFont val="Calibri"/>
      </rPr>
      <t>What the financial status is;</t>
    </r>
  </si>
  <si>
    <r>
      <t>·</t>
    </r>
    <r>
      <rPr>
        <sz val="7"/>
        <rFont val="Times New Roman"/>
        <family val="1"/>
      </rPr>
      <t xml:space="preserve">         </t>
    </r>
    <r>
      <rPr>
        <sz val="12"/>
        <rFont val="Calibri"/>
      </rPr>
      <t>Who will manage the business;</t>
    </r>
  </si>
  <si>
    <r>
      <t>·</t>
    </r>
    <r>
      <rPr>
        <sz val="7"/>
        <rFont val="Times New Roman"/>
        <family val="1"/>
      </rPr>
      <t xml:space="preserve">         </t>
    </r>
    <r>
      <rPr>
        <sz val="12"/>
        <rFont val="Calibri"/>
      </rPr>
      <t>Where the business will be located.</t>
    </r>
  </si>
  <si>
    <r>
      <t xml:space="preserve">4 </t>
    </r>
    <r>
      <rPr>
        <b/>
        <i/>
        <u/>
        <sz val="14"/>
        <rFont val="Calibri"/>
        <family val="2"/>
      </rPr>
      <t>Business Environment Analysis</t>
    </r>
  </si>
  <si>
    <r>
      <t>·</t>
    </r>
    <r>
      <rPr>
        <sz val="7"/>
        <rFont val="Times New Roman"/>
        <family val="1"/>
      </rPr>
      <t xml:space="preserve">         </t>
    </r>
    <r>
      <rPr>
        <sz val="12"/>
        <rFont val="Calibri"/>
      </rPr>
      <t>What is the industry? What characteristics define the industry?</t>
    </r>
  </si>
  <si>
    <r>
      <t>·</t>
    </r>
    <r>
      <rPr>
        <sz val="7"/>
        <rFont val="Times New Roman"/>
        <family val="1"/>
      </rPr>
      <t xml:space="preserve">         </t>
    </r>
    <r>
      <rPr>
        <sz val="12"/>
        <rFont val="Calibri"/>
      </rPr>
      <t>What is the market? – For example it could be defined geographically, demographically, etc. ;</t>
    </r>
  </si>
  <si>
    <r>
      <t>·</t>
    </r>
    <r>
      <rPr>
        <sz val="7"/>
        <rFont val="Times New Roman"/>
        <family val="1"/>
      </rPr>
      <t xml:space="preserve">         </t>
    </r>
    <r>
      <rPr>
        <sz val="12"/>
        <rFont val="Calibri"/>
      </rPr>
      <t>Who are your customers within the market?</t>
    </r>
  </si>
  <si>
    <r>
      <t xml:space="preserve">5 </t>
    </r>
    <r>
      <rPr>
        <b/>
        <i/>
        <u/>
        <sz val="14"/>
        <rFont val="Calibri"/>
        <family val="2"/>
      </rPr>
      <t>Industry background</t>
    </r>
  </si>
  <si>
    <r>
      <t>·</t>
    </r>
    <r>
      <rPr>
        <sz val="7"/>
        <rFont val="Times New Roman"/>
        <family val="1"/>
      </rPr>
      <t xml:space="preserve">         </t>
    </r>
    <r>
      <rPr>
        <sz val="12"/>
        <rFont val="Calibri"/>
      </rPr>
      <t>What is the range of products or services encompassed by this industry?</t>
    </r>
  </si>
  <si>
    <r>
      <t>·</t>
    </r>
    <r>
      <rPr>
        <sz val="7"/>
        <rFont val="Times New Roman"/>
        <family val="1"/>
      </rPr>
      <t xml:space="preserve">         </t>
    </r>
    <r>
      <rPr>
        <sz val="12"/>
        <rFont val="Calibri"/>
      </rPr>
      <t>Is it electronics, or manufacturing, or food, or cereal-making industry?</t>
    </r>
  </si>
  <si>
    <r>
      <t>·</t>
    </r>
    <r>
      <rPr>
        <sz val="7"/>
        <rFont val="Times New Roman"/>
        <family val="1"/>
      </rPr>
      <t xml:space="preserve">         </t>
    </r>
    <r>
      <rPr>
        <sz val="12"/>
        <rFont val="Calibri"/>
      </rPr>
      <t>What is the industry’s production capacity, its unit sales and its overall profitability?</t>
    </r>
  </si>
  <si>
    <r>
      <t>·</t>
    </r>
    <r>
      <rPr>
        <sz val="7"/>
        <rFont val="Times New Roman"/>
        <family val="1"/>
      </rPr>
      <t xml:space="preserve">         </t>
    </r>
    <r>
      <rPr>
        <sz val="12"/>
        <rFont val="Calibri"/>
      </rPr>
      <t>Is the industry spread out geographically, or is it concentrated near the sources of row material or near the end user for efficient distribution?</t>
    </r>
  </si>
  <si>
    <r>
      <t>·</t>
    </r>
    <r>
      <rPr>
        <sz val="7"/>
        <rFont val="Times New Roman"/>
        <family val="1"/>
      </rPr>
      <t xml:space="preserve">         </t>
    </r>
    <r>
      <rPr>
        <sz val="12"/>
        <rFont val="Calibri"/>
      </rPr>
      <t>What is the predicted growth rate?</t>
    </r>
  </si>
  <si>
    <r>
      <t>·</t>
    </r>
    <r>
      <rPr>
        <sz val="7"/>
        <rFont val="Times New Roman"/>
        <family val="1"/>
      </rPr>
      <t xml:space="preserve">         </t>
    </r>
    <r>
      <rPr>
        <sz val="12"/>
        <rFont val="Calibri"/>
      </rPr>
      <t>What new patterns of growth are emerging?</t>
    </r>
  </si>
  <si>
    <r>
      <t>·</t>
    </r>
    <r>
      <rPr>
        <sz val="7"/>
        <rFont val="Times New Roman"/>
        <family val="1"/>
      </rPr>
      <t xml:space="preserve">         </t>
    </r>
    <r>
      <rPr>
        <sz val="12"/>
        <rFont val="Calibri"/>
      </rPr>
      <t>What factors might contribute to future growth?</t>
    </r>
  </si>
  <si>
    <r>
      <t>·</t>
    </r>
    <r>
      <rPr>
        <sz val="7"/>
        <rFont val="Times New Roman"/>
        <family val="1"/>
      </rPr>
      <t xml:space="preserve">         </t>
    </r>
    <r>
      <rPr>
        <sz val="12"/>
        <rFont val="Calibri"/>
      </rPr>
      <t>Is the industry fragmented, consisting of many small competitors?</t>
    </r>
  </si>
  <si>
    <r>
      <t>·</t>
    </r>
    <r>
      <rPr>
        <sz val="7"/>
        <rFont val="Times New Roman"/>
        <family val="1"/>
      </rPr>
      <t xml:space="preserve">         </t>
    </r>
    <r>
      <rPr>
        <sz val="12"/>
        <rFont val="Calibri"/>
      </rPr>
      <t>Are there major competitors controlling the industry?</t>
    </r>
  </si>
  <si>
    <r>
      <t>·</t>
    </r>
    <r>
      <rPr>
        <sz val="7"/>
        <rFont val="Times New Roman"/>
        <family val="1"/>
      </rPr>
      <t xml:space="preserve">         </t>
    </r>
    <r>
      <rPr>
        <sz val="12"/>
        <rFont val="Calibri"/>
      </rPr>
      <t>Is it traditional industry offering stable products or services, or is it moving on the edge of technology?</t>
    </r>
  </si>
  <si>
    <t>http://en.wikipedia.org/wiki/Added_value</t>
  </si>
  <si>
    <t>Value added</t>
  </si>
  <si>
    <t>http://en.wikipedia.org/wiki/Operating_leverage</t>
  </si>
  <si>
    <t>% on value of production</t>
  </si>
  <si>
    <t>% yearly increase</t>
  </si>
  <si>
    <t xml:space="preserve">FINANCIAL DEBTS/E.B.I.T.D.A. </t>
  </si>
  <si>
    <t>Bank parameters</t>
  </si>
  <si>
    <t>E.B.I.T.D.A./Financial charges</t>
  </si>
  <si>
    <t>Company Ratios</t>
  </si>
  <si>
    <t>Operating Working capital/Turnover</t>
  </si>
  <si>
    <t>Delta vs bank parameters</t>
  </si>
  <si>
    <t>operating working capital (stocks + trade debtors - trade creditors)</t>
  </si>
  <si>
    <t>Debt / equity (D/E)</t>
  </si>
  <si>
    <t>2 &lt; D/E &lt; 2,5</t>
  </si>
  <si>
    <t>2,5 &lt; D/E &lt; 3,25</t>
  </si>
  <si>
    <t>&gt; 3,25</t>
  </si>
  <si>
    <t>&lt; 3</t>
  </si>
  <si>
    <t>Parameter</t>
  </si>
  <si>
    <t>Debt/Equity</t>
  </si>
  <si>
    <t xml:space="preserve">DEBT/E.B.I.T.D.A. </t>
  </si>
  <si>
    <t xml:space="preserve">EBIDTA / financial charges </t>
  </si>
  <si>
    <t>E/FC &gt; 5</t>
  </si>
  <si>
    <t>4 &lt; E/FC &lt; 5</t>
  </si>
  <si>
    <t>3 &lt; E/FC &lt; 4</t>
  </si>
  <si>
    <t>Financial distress</t>
  </si>
  <si>
    <t>Financial strength</t>
  </si>
  <si>
    <t>Financial stability</t>
  </si>
  <si>
    <t>Financial weakness</t>
  </si>
  <si>
    <t>2,5 &lt; D/EBITDA &lt; 3,25</t>
  </si>
  <si>
    <t>D/E &lt; 2,5</t>
  </si>
  <si>
    <t>2 &lt; D/EBITDA &lt; 2,5</t>
  </si>
  <si>
    <t>D/EBITDA&lt; 2,5</t>
  </si>
  <si>
    <t>Spread (basis points)</t>
  </si>
  <si>
    <t>Logo / Website</t>
  </si>
  <si>
    <t>This sheet has to be completed only if the entreprise is financed with debt (levered).</t>
  </si>
  <si>
    <t>check list (OK if = 0)</t>
  </si>
  <si>
    <t>Company's Name</t>
  </si>
  <si>
    <t>This is just a sample, to be adapted to specific covenants</t>
  </si>
  <si>
    <r>
      <t>QBP = fixed costs / Contribution Margin per Unit</t>
    </r>
    <r>
      <rPr>
        <sz val="11"/>
        <rFont val="Arial"/>
        <family val="2"/>
      </rPr>
      <t/>
    </r>
  </si>
  <si>
    <t>if we consider the structure of costs of this venture:</t>
  </si>
  <si>
    <t>Industry Name</t>
  </si>
  <si>
    <r>
      <t xml:space="preserve">year X+3 </t>
    </r>
    <r>
      <rPr>
        <sz val="10"/>
        <rFont val="Calibri"/>
        <family val="2"/>
      </rPr>
      <t>→</t>
    </r>
  </si>
  <si>
    <r>
      <t xml:space="preserve">year X+4 </t>
    </r>
    <r>
      <rPr>
        <sz val="10"/>
        <rFont val="Calibri"/>
        <family val="2"/>
      </rPr>
      <t>→</t>
    </r>
  </si>
  <si>
    <t>It means: WACC, Growth rate, EBITDA, tax rate.</t>
  </si>
  <si>
    <t>We assume the growth rate had in the first 5 years</t>
  </si>
  <si>
    <t>We assume the same EBITDA % of the last year (the business had grown to its maximum)</t>
  </si>
  <si>
    <t>31/12/X+5</t>
  </si>
  <si>
    <t>31/12/X+6</t>
  </si>
  <si>
    <t>31/12/X+7</t>
  </si>
  <si>
    <t>31/12/X+8</t>
  </si>
  <si>
    <t>31/12/X+9</t>
  </si>
  <si>
    <t>31/12/X+10</t>
  </si>
  <si>
    <t>from year x+6 to x+10, revenues = rev (last year)*growht rate</t>
  </si>
  <si>
    <t>from year x+6 to x+10, EBITDA = Rev*fixed EBITDA Margin</t>
  </si>
  <si>
    <t>from year x+6 to x+10, Δ Net Working Capital = Net Working Capital (last year)*growht rate</t>
  </si>
  <si>
    <t>from year x+6 to x+10, we assume no movements in fixed assets</t>
  </si>
  <si>
    <t>Only a few taxes are forecasted in the business plan. Maybe it needs to be adjusted</t>
  </si>
  <si>
    <t>UNLEVERED CASH FLOW after taxes</t>
  </si>
  <si>
    <t>Company Evaluation Model</t>
  </si>
  <si>
    <t>equity at 31/12/X</t>
  </si>
  <si>
    <t>book value (= equity / n° actions)</t>
  </si>
  <si>
    <t>market price as of 31/12/X</t>
  </si>
  <si>
    <t>Price / BV at 31/12/X</t>
  </si>
  <si>
    <t>Household Products</t>
  </si>
  <si>
    <t>Information Services</t>
  </si>
  <si>
    <t>Insurance (Life)</t>
  </si>
  <si>
    <t>Insurance (Prop/Cas.)</t>
  </si>
  <si>
    <t>Machinery</t>
  </si>
  <si>
    <t>Oil/Gas Distribution</t>
  </si>
  <si>
    <t>Oilfield Svcs/Equip.</t>
  </si>
  <si>
    <t>Packaging &amp; Container</t>
  </si>
  <si>
    <t>Paper/Forest Products</t>
  </si>
  <si>
    <t>Power</t>
  </si>
  <si>
    <t>Precious Metals</t>
  </si>
  <si>
    <t>R.E.I.T.</t>
  </si>
  <si>
    <t>Railroad</t>
  </si>
  <si>
    <t>Recreation</t>
  </si>
  <si>
    <t>Reinsurance</t>
  </si>
  <si>
    <t>Restaurant</t>
  </si>
  <si>
    <t>Semiconductor</t>
  </si>
  <si>
    <t>Semiconductor Equip</t>
  </si>
  <si>
    <t>Shoe</t>
  </si>
  <si>
    <t>Steel</t>
  </si>
  <si>
    <t>Telecom. Equipment</t>
  </si>
  <si>
    <t>Telecom. Services</t>
  </si>
  <si>
    <t>Thrift</t>
  </si>
  <si>
    <t>Tobacco</t>
  </si>
  <si>
    <t>Trucking</t>
  </si>
  <si>
    <t>Total Market</t>
  </si>
  <si>
    <t>Market D/E Ratio</t>
  </si>
  <si>
    <t>Cash/Firm Value</t>
  </si>
  <si>
    <t>Unlevered Beta corrected for cash</t>
  </si>
  <si>
    <t>Automotive</t>
  </si>
  <si>
    <t>Bank (Midwest)</t>
  </si>
  <si>
    <t>Beverage</t>
  </si>
  <si>
    <t>Coal</t>
  </si>
  <si>
    <t>Diversified Co.</t>
  </si>
  <si>
    <t>Drug</t>
  </si>
  <si>
    <t>E-Commerce</t>
  </si>
  <si>
    <t>Electric Util. (Central)</t>
  </si>
  <si>
    <t>Electric Utility (East)</t>
  </si>
  <si>
    <t>Electric Utility (West)</t>
  </si>
  <si>
    <t>Engineering &amp; Const</t>
  </si>
  <si>
    <t>Entertainment Tech</t>
  </si>
  <si>
    <t>Environmental</t>
  </si>
  <si>
    <t>Financial Svcs. (Div.)</t>
  </si>
  <si>
    <t>Foreign Electronics</t>
  </si>
  <si>
    <t>Funeral Services</t>
  </si>
  <si>
    <t>Healthcare Information</t>
  </si>
  <si>
    <t>Heavy Truck &amp; Equip</t>
  </si>
  <si>
    <t>Human Resources</t>
  </si>
  <si>
    <t>Industrial Services</t>
  </si>
  <si>
    <t>Internet</t>
  </si>
  <si>
    <t>IT Services</t>
  </si>
  <si>
    <t>Maritime</t>
  </si>
  <si>
    <t>Med Supp Invasive</t>
  </si>
  <si>
    <t>Med Supp Non-Invasive</t>
  </si>
  <si>
    <t>Medical Services</t>
  </si>
  <si>
    <t>Metal Fabricating</t>
  </si>
  <si>
    <t>Metals &amp; Mining (Div.)</t>
  </si>
  <si>
    <t>Natural Gas (Div.)</t>
  </si>
  <si>
    <t>Natural Gas Utility</t>
  </si>
  <si>
    <t>Newspaper</t>
  </si>
  <si>
    <t>Office Equip/Supplies</t>
  </si>
  <si>
    <t>Petroleum (Integrated)</t>
  </si>
  <si>
    <t>Petroleum (Producing)</t>
  </si>
  <si>
    <t>Pharmacy Services</t>
  </si>
  <si>
    <t>Pipeline MLPs</t>
  </si>
  <si>
    <t>Precision Instrument</t>
  </si>
  <si>
    <t>Property Management</t>
  </si>
  <si>
    <t>Public/Private Equity</t>
  </si>
  <si>
    <t>Publishing</t>
  </si>
  <si>
    <t>Retail (Hardlines)</t>
  </si>
  <si>
    <t>Retail (Softlines)</t>
  </si>
  <si>
    <t>Retail Automotive</t>
  </si>
  <si>
    <t>Retail Building Supply</t>
  </si>
  <si>
    <t>Retail Store</t>
  </si>
  <si>
    <t>Retail/Wholesale Food</t>
  </si>
  <si>
    <t>Securities Brokerage</t>
  </si>
  <si>
    <t>Telecom. Utility</t>
  </si>
  <si>
    <t>Toiletries/Cosmetics</t>
  </si>
  <si>
    <t>Utility (Foreign)</t>
  </si>
  <si>
    <t>Water Utility</t>
  </si>
  <si>
    <t>Wireless Networking</t>
  </si>
  <si>
    <t xml:space="preserve">Country Risk Scores - PRS Group - November 2010 </t>
  </si>
  <si>
    <t>MARGINE OPERATIVO LORDO (EBITDA) (A - B - C)</t>
  </si>
  <si>
    <t>Value of Production</t>
  </si>
  <si>
    <t>Costs of production</t>
  </si>
  <si>
    <t>Value Added (A - B)</t>
  </si>
  <si>
    <t>Labour cost ©</t>
  </si>
  <si>
    <r>
      <t>·</t>
    </r>
    <r>
      <rPr>
        <sz val="7"/>
        <rFont val="Times New Roman"/>
        <family val="1"/>
      </rPr>
      <t xml:space="preserve">         </t>
    </r>
    <r>
      <rPr>
        <sz val="12"/>
        <rFont val="Calibri"/>
      </rPr>
      <t>What resources, knowledge, or skills does it take to enter this industry?</t>
    </r>
  </si>
  <si>
    <r>
      <t xml:space="preserve">6 </t>
    </r>
    <r>
      <rPr>
        <b/>
        <i/>
        <u/>
        <sz val="14"/>
        <rFont val="Calibri"/>
        <family val="2"/>
      </rPr>
      <t>Competitive analysis</t>
    </r>
  </si>
  <si>
    <t>What differentiates your product or service from competitors’ offering?</t>
  </si>
  <si>
    <r>
      <t xml:space="preserve">7 </t>
    </r>
    <r>
      <rPr>
        <b/>
        <i/>
        <u/>
        <sz val="14"/>
        <rFont val="Calibri"/>
        <family val="2"/>
      </rPr>
      <t>Market analysis</t>
    </r>
  </si>
  <si>
    <t>Assessing the market’s size and growth</t>
  </si>
  <si>
    <r>
      <t xml:space="preserve">8 </t>
    </r>
    <r>
      <rPr>
        <b/>
        <i/>
        <u/>
        <sz val="14"/>
        <rFont val="Calibri"/>
        <family val="2"/>
      </rPr>
      <t>Marketing plan</t>
    </r>
  </si>
  <si>
    <r>
      <t>·</t>
    </r>
    <r>
      <rPr>
        <sz val="7"/>
        <rFont val="Times New Roman"/>
        <family val="1"/>
      </rPr>
      <t xml:space="preserve">         </t>
    </r>
    <r>
      <rPr>
        <sz val="12"/>
        <rFont val="Calibri"/>
      </rPr>
      <t>Concentrate on the opportunity  –  the customer problem that your product or service is solving (keep the perspective of the customers);</t>
    </r>
  </si>
  <si>
    <r>
      <t>·</t>
    </r>
    <r>
      <rPr>
        <sz val="7"/>
        <rFont val="Times New Roman"/>
        <family val="1"/>
      </rPr>
      <t xml:space="preserve">         </t>
    </r>
    <r>
      <rPr>
        <sz val="12"/>
        <rFont val="Calibri"/>
      </rPr>
      <t>Focus on costumers’ buying behavior – when, where, why and how do costumers buy this product or service?</t>
    </r>
  </si>
  <si>
    <t>Defining your marketing mix</t>
  </si>
  <si>
    <t>It describes the way you will achieve your marketing objectives. Think about:</t>
  </si>
  <si>
    <r>
      <t>·</t>
    </r>
    <r>
      <rPr>
        <sz val="7"/>
        <rFont val="Times New Roman"/>
        <family val="1"/>
      </rPr>
      <t xml:space="preserve">         </t>
    </r>
    <r>
      <rPr>
        <sz val="12"/>
        <rFont val="Calibri"/>
      </rPr>
      <t>Place (distribution): the physical movement of the products – how the product will arrive to the end users.</t>
    </r>
  </si>
  <si>
    <r>
      <t xml:space="preserve">9 </t>
    </r>
    <r>
      <rPr>
        <b/>
        <i/>
        <u/>
        <sz val="14"/>
        <rFont val="Calibri"/>
        <family val="2"/>
      </rPr>
      <t>Operations plan</t>
    </r>
  </si>
  <si>
    <r>
      <t>·</t>
    </r>
    <r>
      <rPr>
        <sz val="7"/>
        <rFont val="Times New Roman"/>
        <family val="1"/>
      </rPr>
      <t xml:space="preserve">         </t>
    </r>
    <r>
      <rPr>
        <sz val="12"/>
        <rFont val="Calibri"/>
      </rPr>
      <t>Breakeven point;</t>
    </r>
  </si>
  <si>
    <r>
      <t>·</t>
    </r>
    <r>
      <rPr>
        <sz val="7"/>
        <rFont val="Times New Roman"/>
        <family val="1"/>
      </rPr>
      <t xml:space="preserve">         </t>
    </r>
    <r>
      <rPr>
        <sz val="12"/>
        <rFont val="Calibri"/>
      </rPr>
      <t>Advantages in sourcing materials;</t>
    </r>
  </si>
  <si>
    <r>
      <t>·</t>
    </r>
    <r>
      <rPr>
        <sz val="7"/>
        <rFont val="Times New Roman"/>
        <family val="1"/>
      </rPr>
      <t xml:space="preserve">         </t>
    </r>
    <r>
      <rPr>
        <sz val="12"/>
        <rFont val="Calibri"/>
      </rPr>
      <t>Innovations in production or distribution (lower costs or increase productivity);</t>
    </r>
  </si>
  <si>
    <r>
      <t>·</t>
    </r>
    <r>
      <rPr>
        <sz val="7"/>
        <rFont val="Times New Roman"/>
        <family val="1"/>
      </rPr>
      <t xml:space="preserve">         </t>
    </r>
    <r>
      <rPr>
        <sz val="12"/>
        <rFont val="Calibri"/>
      </rPr>
      <t>Geographic location;</t>
    </r>
  </si>
  <si>
    <r>
      <t>·</t>
    </r>
    <r>
      <rPr>
        <sz val="7"/>
        <rFont val="Times New Roman"/>
        <family val="1"/>
      </rPr>
      <t xml:space="preserve">         </t>
    </r>
    <r>
      <rPr>
        <sz val="12"/>
        <rFont val="Calibri"/>
      </rPr>
      <t>Access to skilled employees or inexpensive labor;</t>
    </r>
  </si>
  <si>
    <r>
      <t>·</t>
    </r>
    <r>
      <rPr>
        <sz val="7"/>
        <rFont val="Times New Roman"/>
        <family val="1"/>
      </rPr>
      <t xml:space="preserve">         </t>
    </r>
    <r>
      <rPr>
        <sz val="12"/>
        <rFont val="Calibri"/>
      </rPr>
      <t>How the business produces social advantages.</t>
    </r>
  </si>
  <si>
    <r>
      <t xml:space="preserve">10 </t>
    </r>
    <r>
      <rPr>
        <b/>
        <i/>
        <u/>
        <sz val="14"/>
        <rFont val="Calibri"/>
        <family val="2"/>
      </rPr>
      <t>Management Summary</t>
    </r>
  </si>
  <si>
    <t>Describing your team members’ qualifications</t>
  </si>
  <si>
    <r>
      <t>·</t>
    </r>
    <r>
      <rPr>
        <sz val="7"/>
        <rFont val="Times New Roman"/>
        <family val="1"/>
      </rPr>
      <t xml:space="preserve">         </t>
    </r>
    <r>
      <rPr>
        <sz val="12"/>
        <rFont val="Calibri"/>
      </rPr>
      <t>What have they accomplished? What are the team members’ achievements? Do they have a record of   successfully projects?</t>
    </r>
  </si>
  <si>
    <r>
      <t>·</t>
    </r>
    <r>
      <rPr>
        <sz val="7"/>
        <rFont val="Times New Roman"/>
        <family val="1"/>
      </rPr>
      <t xml:space="preserve">         </t>
    </r>
    <r>
      <rPr>
        <sz val="12"/>
        <rFont val="Calibri"/>
      </rPr>
      <t>What knowledge, skills and specific abilities do they bring to the business?</t>
    </r>
  </si>
  <si>
    <r>
      <t>·</t>
    </r>
    <r>
      <rPr>
        <sz val="7"/>
        <rFont val="Times New Roman"/>
        <family val="1"/>
      </rPr>
      <t xml:space="preserve">         </t>
    </r>
    <r>
      <rPr>
        <sz val="12"/>
        <rFont val="Calibri"/>
      </rPr>
      <t>What are each member’s motivations? What do they hope to achieve?</t>
    </r>
  </si>
  <si>
    <r>
      <t>·</t>
    </r>
    <r>
      <rPr>
        <sz val="7"/>
        <rFont val="Times New Roman"/>
        <family val="1"/>
      </rPr>
      <t xml:space="preserve">         </t>
    </r>
    <r>
      <rPr>
        <b/>
        <i/>
        <u/>
        <sz val="12"/>
        <rFont val="Calibri"/>
        <family val="2"/>
      </rPr>
      <t>Affirming the team’s strength</t>
    </r>
    <r>
      <rPr>
        <b/>
        <i/>
        <sz val="12"/>
        <rFont val="Calibri"/>
        <family val="2"/>
      </rPr>
      <t>;</t>
    </r>
  </si>
  <si>
    <r>
      <t>·</t>
    </r>
    <r>
      <rPr>
        <sz val="7"/>
        <rFont val="Times New Roman"/>
        <family val="1"/>
      </rPr>
      <t xml:space="preserve">         </t>
    </r>
    <r>
      <rPr>
        <b/>
        <i/>
        <u/>
        <sz val="12"/>
        <rFont val="Calibri"/>
        <family val="2"/>
      </rPr>
      <t>Addressing the team’s perceived weaknesses</t>
    </r>
    <r>
      <rPr>
        <b/>
        <i/>
        <sz val="12"/>
        <rFont val="Calibri"/>
        <family val="2"/>
      </rPr>
      <t>;</t>
    </r>
  </si>
  <si>
    <r>
      <t>·</t>
    </r>
    <r>
      <rPr>
        <sz val="7"/>
        <rFont val="Times New Roman"/>
        <family val="1"/>
      </rPr>
      <t xml:space="preserve">         </t>
    </r>
    <r>
      <rPr>
        <b/>
        <i/>
        <u/>
        <sz val="12"/>
        <rFont val="Calibri"/>
        <family val="2"/>
      </rPr>
      <t>Expressing the team management philosophy</t>
    </r>
    <r>
      <rPr>
        <b/>
        <i/>
        <sz val="12"/>
        <rFont val="Calibri"/>
        <family val="2"/>
      </rPr>
      <t>.</t>
    </r>
  </si>
  <si>
    <t>This is a critical section of your business plan because it translates all the other parts of the business into anticipating financial results.</t>
  </si>
  <si>
    <t>Anticipating readers’ concerns</t>
  </si>
  <si>
    <t>Different readers of your business plan will have different points of view as they approach the financial plan.</t>
  </si>
  <si>
    <t>Specifying your business’s capital requirements</t>
  </si>
  <si>
    <t xml:space="preserve">The readers of your business plan will want to know what capital investment is required. </t>
  </si>
  <si>
    <t>How much money do you need to rise, how much do you expect from them, and how do you intend to use the money?</t>
  </si>
  <si>
    <t>Providing financial projections</t>
  </si>
  <si>
    <t>The pro forma financial statements are projected statements; they represent your most honest analysis of the financial progress of the business:</t>
  </si>
  <si>
    <r>
      <t>·</t>
    </r>
    <r>
      <rPr>
        <sz val="7"/>
        <rFont val="Times New Roman"/>
        <family val="1"/>
      </rPr>
      <t xml:space="preserve">         </t>
    </r>
    <r>
      <rPr>
        <sz val="12"/>
        <rFont val="Calibri"/>
      </rPr>
      <t>The income statement shows the profit margins;</t>
    </r>
  </si>
  <si>
    <r>
      <t>·</t>
    </r>
    <r>
      <rPr>
        <sz val="7"/>
        <rFont val="Times New Roman"/>
        <family val="1"/>
      </rPr>
      <t xml:space="preserve">         </t>
    </r>
    <r>
      <rPr>
        <sz val="12"/>
        <rFont val="Calibri"/>
      </rPr>
      <t>The balance sheet provides a picture of the business’s assets, equities and liabilities at a specific point in time;</t>
    </r>
  </si>
  <si>
    <t>It’s calculated as follows:</t>
  </si>
  <si>
    <r>
      <t xml:space="preserve">Breakeven= Fixed Cost </t>
    </r>
    <r>
      <rPr>
        <i/>
        <sz val="16"/>
        <rFont val="Calibri"/>
        <family val="2"/>
      </rPr>
      <t xml:space="preserve">/ </t>
    </r>
    <r>
      <rPr>
        <i/>
        <sz val="12"/>
        <rFont val="Calibri"/>
        <family val="2"/>
      </rPr>
      <t>((Sales – Variable Costs)/Sales)</t>
    </r>
  </si>
  <si>
    <t>Source: this Excel file derives from a joint work, coordinated by prof. Roberto Moro Visconti</t>
  </si>
  <si>
    <t>Its contents is not academically original and may be conveniently compared with other sources or examples.</t>
  </si>
  <si>
    <t>Anybody can freely copy / download / modify this open source file; the only condition we would kindly ask</t>
  </si>
  <si>
    <t>is to report any improvement, sending the amended file, together with a list of the modifications, to</t>
  </si>
  <si>
    <t>Prof. Roberto Moro Visconti - roberto.morovisconti@morovisconti.it</t>
  </si>
  <si>
    <t>Thank You !</t>
  </si>
  <si>
    <t>With this continuous upgrade, anybody would be enable to enjoy improvements, fine tunings, etc.</t>
  </si>
  <si>
    <t>Where fixed costs are those costs that don’t change as sales go up or down, and variable costs vary in proportion on sales.</t>
  </si>
  <si>
    <r>
      <t>FV = investment x (1+0.5)</t>
    </r>
    <r>
      <rPr>
        <vertAlign val="superscript"/>
        <sz val="12"/>
        <rFont val="Calibri"/>
        <family val="2"/>
      </rPr>
      <t>n</t>
    </r>
  </si>
  <si>
    <r>
      <t xml:space="preserve">Where </t>
    </r>
    <r>
      <rPr>
        <i/>
        <sz val="12"/>
        <rFont val="Calibri"/>
        <family val="2"/>
      </rPr>
      <t>FV</t>
    </r>
    <r>
      <rPr>
        <sz val="12"/>
        <rFont val="Calibri"/>
      </rPr>
      <t xml:space="preserve"> is future value, </t>
    </r>
    <r>
      <rPr>
        <i/>
        <sz val="12"/>
        <rFont val="Calibri"/>
        <family val="2"/>
      </rPr>
      <t xml:space="preserve">investment </t>
    </r>
    <r>
      <rPr>
        <sz val="12"/>
        <rFont val="Calibri"/>
      </rPr>
      <t xml:space="preserve">is the dollar amount of the investment, and </t>
    </r>
    <r>
      <rPr>
        <i/>
        <sz val="12"/>
        <rFont val="Calibri"/>
        <family val="2"/>
      </rPr>
      <t xml:space="preserve">n </t>
    </r>
    <r>
      <rPr>
        <sz val="12"/>
        <rFont val="Calibri"/>
      </rPr>
      <t>is the number of years to receive the return.</t>
    </r>
  </si>
  <si>
    <r>
      <t>_</t>
    </r>
    <r>
      <rPr>
        <i/>
        <sz val="12"/>
        <rFont val="Calibri"/>
        <family val="2"/>
      </rPr>
      <t xml:space="preserve">How to write a great business plan, </t>
    </r>
    <r>
      <rPr>
        <sz val="12"/>
        <rFont val="Calibri"/>
      </rPr>
      <t>William A. Sahlman, Harvard Business School Publishing Corporation, 2008.</t>
    </r>
  </si>
  <si>
    <r>
      <t>_</t>
    </r>
    <r>
      <rPr>
        <i/>
        <sz val="12"/>
        <rFont val="Calibri"/>
        <family val="2"/>
      </rPr>
      <t>Creating a business plan,</t>
    </r>
    <r>
      <rPr>
        <sz val="12"/>
        <rFont val="Calibri"/>
      </rPr>
      <t xml:space="preserve"> Harvard Business School Publishing Corporation, 2007</t>
    </r>
  </si>
  <si>
    <r>
      <t xml:space="preserve">Sources wich aided developing this topic </t>
    </r>
    <r>
      <rPr>
        <b/>
        <i/>
        <sz val="14"/>
        <rFont val="Calibri"/>
        <family val="2"/>
      </rPr>
      <t>:</t>
    </r>
  </si>
  <si>
    <t>PRIVATE DONORS</t>
  </si>
  <si>
    <t>GOVERNAMENTAL AGENCIES</t>
  </si>
  <si>
    <t>INTERNATIONAL ORGANISATIONS</t>
  </si>
  <si>
    <t>Net income before income taxes (EBITDA+INCOME AND FINANCIAL CHARGES+PROCEED FOR PROJECTS)</t>
  </si>
  <si>
    <t>cost of capital</t>
  </si>
  <si>
    <t>simulation model of growth of gordon</t>
  </si>
  <si>
    <t>growth rate</t>
  </si>
  <si>
    <t>value of the shares</t>
  </si>
  <si>
    <t>quotations to 05/03/2007</t>
  </si>
  <si>
    <t>business model evaluation</t>
  </si>
  <si>
    <t>version for listed companies</t>
  </si>
  <si>
    <t>index of business agility</t>
  </si>
  <si>
    <t>   investment</t>
  </si>
  <si>
    <r>
      <t>  working capital</t>
    </r>
    <r>
      <rPr>
        <sz val="7.5"/>
        <color indexed="12"/>
        <rFont val="Arial"/>
        <family val="2"/>
      </rPr>
      <t xml:space="preserve"> /</t>
    </r>
  </si>
  <si>
    <r>
      <t xml:space="preserve">  </t>
    </r>
    <r>
      <rPr>
        <sz val="7.5"/>
        <color indexed="12"/>
        <rFont val="Arial"/>
        <family val="2"/>
      </rPr>
      <t>undistributed (other reserves) /</t>
    </r>
  </si>
  <si>
    <t>weighted value</t>
  </si>
  <si>
    <t>caution in the management</t>
  </si>
  <si>
    <t>financially strong companies</t>
  </si>
  <si>
    <t>index of self-financing</t>
  </si>
  <si>
    <t>index of independence from thirdindex of independence from third</t>
  </si>
  <si>
    <t>operating income /</t>
  </si>
  <si>
    <t>market value /</t>
  </si>
  <si>
    <t>   current liabilities and consolidated</t>
  </si>
  <si>
    <t>value of production /</t>
  </si>
  <si>
    <t>turnover activities</t>
  </si>
  <si>
    <t>probability of failure</t>
  </si>
  <si>
    <t>payout ratio</t>
  </si>
  <si>
    <t>weight</t>
  </si>
  <si>
    <t>probability of failure is very high</t>
  </si>
  <si>
    <t>probability of bankruptcy within two years</t>
  </si>
  <si>
    <t xml:space="preserve">The breakeven point is the time when the business is neither losing nor gaining money. This is the pivotal moment when the business begins to be profitable. </t>
  </si>
  <si>
    <t>The reader of your business plan will want to know when and at what level of sales the breakeven point will occur.</t>
  </si>
  <si>
    <t xml:space="preserve">Investors also want to know the expected financial returns – typically either the return on investment (ROI) or internal rate of return (IRR). For a risky business, </t>
  </si>
  <si>
    <t>investors generally require a higher return to compensate for the higher level of risk of loss.</t>
  </si>
  <si>
    <t>Movements of Donations</t>
  </si>
  <si>
    <t>N.B. this sheet - balance sheet variation - is necessary for the calculation of the cash flow, together with the income statement.</t>
  </si>
  <si>
    <t>Measure the percentage of native people workers in the venture</t>
  </si>
  <si>
    <t>Measure the percentage of native women workers in the venture</t>
  </si>
  <si>
    <t xml:space="preserve">1) </t>
  </si>
  <si>
    <t>If during the year X+2  there will be these two different situations:</t>
  </si>
  <si>
    <t xml:space="preserve">2) </t>
  </si>
  <si>
    <r>
      <rPr>
        <sz val="10"/>
        <rFont val="Calibri"/>
        <family val="2"/>
      </rPr>
      <t>%</t>
    </r>
    <r>
      <rPr>
        <sz val="10"/>
        <rFont val="Arial"/>
      </rPr>
      <t xml:space="preserve"> of Variable costs on Product Price =</t>
    </r>
  </si>
  <si>
    <t>CASH FLOW period X+1</t>
  </si>
  <si>
    <t>Generally, more the Operating Leverage is high, more a company's income is affected by fluctuation in sales volume.</t>
  </si>
  <si>
    <t xml:space="preserve">The high income vs. sales ratio results from a low portioin of variable costs; it means the company does not have to pay high additional money for each unit produced or sold. </t>
  </si>
  <si>
    <t xml:space="preserve">Operating leverage can be considered in terms of change in operating income for a given change in sales (revenue).  </t>
  </si>
  <si>
    <r>
      <t xml:space="preserve">It can be measured by the </t>
    </r>
    <r>
      <rPr>
        <b/>
        <i/>
        <sz val="10"/>
        <rFont val="Arial"/>
        <family val="2"/>
      </rPr>
      <t>Degree of Operating Leverage (DOL)</t>
    </r>
    <r>
      <rPr>
        <sz val="10"/>
        <rFont val="Arial"/>
      </rPr>
      <t xml:space="preserve">, which could be defined as the ratio of </t>
    </r>
    <r>
      <rPr>
        <i/>
        <sz val="10"/>
        <rFont val="Arial"/>
        <family val="2"/>
      </rPr>
      <t>Contribution Margin over Operating Income.</t>
    </r>
  </si>
  <si>
    <t>a company with high fixed costs and low variable costs has a higher contribution margin and its Operating Income increases more rapidly with Sales than a company with low fixed costs (and correspondingly lower contribution margin).</t>
  </si>
  <si>
    <r>
      <t>when Sales growth overcomes the break-even point, Operating Margin increases rapidly (it's the effect of an high DOL</t>
    </r>
    <r>
      <rPr>
        <sz val="10"/>
        <rFont val="Arial"/>
      </rPr>
      <t>).</t>
    </r>
  </si>
  <si>
    <t xml:space="preserve">, allows a ∆ Operating Cash Flow of </t>
  </si>
  <si>
    <t xml:space="preserve">the only difference between the period X+1 and the period X+2 is the Quantity Selled (which is reflected on the increase of revenues and variable costs); </t>
  </si>
  <si>
    <r>
      <t xml:space="preserve">so we suppose that the other components of the Cash Flow of the period X+1 and of the period X+2 </t>
    </r>
    <r>
      <rPr>
        <i/>
        <u/>
        <sz val="10"/>
        <rFont val="Arial"/>
        <family val="2"/>
      </rPr>
      <t>do not change</t>
    </r>
    <r>
      <rPr>
        <sz val="10"/>
        <rFont val="Arial"/>
      </rPr>
      <t>.</t>
    </r>
  </si>
  <si>
    <t>31/12/X+4</t>
  </si>
  <si>
    <t>Movements of credits for projects</t>
  </si>
  <si>
    <r>
      <rPr>
        <i/>
        <sz val="11"/>
        <rFont val="Arial"/>
        <family val="2"/>
      </rPr>
      <t>wacc</t>
    </r>
    <r>
      <rPr>
        <sz val="10"/>
        <rFont val="Arial"/>
      </rPr>
      <t xml:space="preserve"> = ( E / (E+D)) * R</t>
    </r>
    <r>
      <rPr>
        <sz val="9"/>
        <rFont val="Arial"/>
        <family val="2"/>
      </rPr>
      <t xml:space="preserve">e </t>
    </r>
    <r>
      <rPr>
        <sz val="10"/>
        <rFont val="Arial"/>
      </rPr>
      <t>+ D / (E+D) * R</t>
    </r>
    <r>
      <rPr>
        <sz val="8"/>
        <rFont val="Arial"/>
        <family val="2"/>
      </rPr>
      <t xml:space="preserve">d </t>
    </r>
    <r>
      <rPr>
        <sz val="10"/>
        <rFont val="Arial"/>
      </rPr>
      <t>* (1-t</t>
    </r>
    <r>
      <rPr>
        <sz val="8"/>
        <rFont val="Arial"/>
        <family val="2"/>
      </rPr>
      <t>c</t>
    </r>
    <r>
      <rPr>
        <sz val="10"/>
        <rFont val="Arial"/>
      </rPr>
      <t>)</t>
    </r>
  </si>
  <si>
    <r>
      <t>t</t>
    </r>
    <r>
      <rPr>
        <sz val="8"/>
        <rFont val="Arial"/>
        <family val="2"/>
      </rPr>
      <t>c</t>
    </r>
    <r>
      <rPr>
        <sz val="10"/>
        <rFont val="Arial"/>
      </rPr>
      <t xml:space="preserve">= </t>
    </r>
    <r>
      <rPr>
        <i/>
        <sz val="10"/>
        <rFont val="Arial"/>
        <family val="2"/>
      </rPr>
      <t>tax rate=</t>
    </r>
  </si>
  <si>
    <r>
      <rPr>
        <b/>
        <sz val="12"/>
        <rFont val="Arial"/>
        <family val="2"/>
      </rPr>
      <t>NPV</t>
    </r>
    <r>
      <rPr>
        <b/>
        <sz val="8"/>
        <rFont val="Arial"/>
        <family val="2"/>
      </rPr>
      <t>equity</t>
    </r>
    <r>
      <rPr>
        <b/>
        <sz val="10"/>
        <rFont val="Arial"/>
        <family val="2"/>
      </rPr>
      <t>=</t>
    </r>
  </si>
  <si>
    <r>
      <rPr>
        <b/>
        <sz val="12"/>
        <rFont val="Arial"/>
        <family val="2"/>
      </rPr>
      <t>NPV</t>
    </r>
    <r>
      <rPr>
        <b/>
        <sz val="8"/>
        <rFont val="Arial"/>
        <family val="2"/>
      </rPr>
      <t>project</t>
    </r>
    <r>
      <rPr>
        <b/>
        <sz val="10"/>
        <rFont val="Arial"/>
        <family val="2"/>
      </rPr>
      <t>=</t>
    </r>
  </si>
  <si>
    <t xml:space="preserve">Discount rate = </t>
  </si>
  <si>
    <t xml:space="preserve">it's the premium for equity investment and it's calculate adding the "nominal interest rate " (calculated as "real interest rate + "expected inflation rate") </t>
  </si>
  <si>
    <t>and "the rate expected for the risk associated with the firm itself"</t>
  </si>
  <si>
    <t xml:space="preserve"> ------------------  *        +    ---------------------  *                *             =</t>
  </si>
  <si>
    <t>LOAN REPAYMENT SHEDULE</t>
  </si>
  <si>
    <t>Repayment</t>
  </si>
  <si>
    <t>Total amounts owed to banks</t>
  </si>
  <si>
    <t xml:space="preserve">Amounts owed to banks </t>
  </si>
  <si>
    <t>Amount owed to banks</t>
  </si>
  <si>
    <t>Period of repayment (years)</t>
  </si>
  <si>
    <t>Facility fees</t>
  </si>
  <si>
    <t>Insurance fee</t>
  </si>
  <si>
    <t>Interest</t>
  </si>
  <si>
    <t>Annual Interest</t>
  </si>
  <si>
    <t xml:space="preserve">Movements of Amounts owed to banks </t>
  </si>
  <si>
    <t xml:space="preserve">Discounted Payback Period </t>
  </si>
  <si>
    <t>+</t>
  </si>
  <si>
    <t>=</t>
  </si>
  <si>
    <t>Business Plan checklist</t>
  </si>
  <si>
    <t>Income statement</t>
  </si>
  <si>
    <t>Cash Flow Statement</t>
  </si>
  <si>
    <t>PROCEEDS FOR PROJECTS from:</t>
  </si>
  <si>
    <t>Aaa</t>
  </si>
  <si>
    <t>Aa1</t>
  </si>
  <si>
    <t>Aa2</t>
  </si>
  <si>
    <t>Aa3</t>
  </si>
  <si>
    <t>A1</t>
  </si>
  <si>
    <t>A2</t>
  </si>
  <si>
    <t>A3</t>
  </si>
  <si>
    <t>Baa1</t>
  </si>
  <si>
    <t>Baa2</t>
  </si>
  <si>
    <t>Baa3</t>
  </si>
  <si>
    <t>Ba1</t>
  </si>
  <si>
    <t>Ba2</t>
  </si>
  <si>
    <t>Ba3</t>
  </si>
  <si>
    <t>B1</t>
  </si>
  <si>
    <t>B2</t>
  </si>
  <si>
    <t>B3</t>
  </si>
  <si>
    <t>Caa1</t>
  </si>
  <si>
    <t>Caa2</t>
  </si>
  <si>
    <t>Caa3</t>
  </si>
  <si>
    <t>Zimbabwe</t>
  </si>
  <si>
    <t>Zambia</t>
  </si>
  <si>
    <t>Yemen, Republic</t>
  </si>
  <si>
    <t>Vietnam</t>
  </si>
  <si>
    <t>Venezuela</t>
  </si>
  <si>
    <t>Uruguay</t>
  </si>
  <si>
    <t>United States</t>
  </si>
  <si>
    <t>United Kingdom</t>
  </si>
  <si>
    <t>United Arab Emirates</t>
  </si>
  <si>
    <t>Ukraine</t>
  </si>
  <si>
    <t>Uganda</t>
  </si>
  <si>
    <t>Turkey</t>
  </si>
  <si>
    <t>Tunisia</t>
  </si>
  <si>
    <t>Trinidad &amp; Tobago</t>
  </si>
  <si>
    <t>Togo</t>
  </si>
  <si>
    <t>Thailand</t>
  </si>
  <si>
    <t>Tanzania</t>
  </si>
  <si>
    <t>Taiwan</t>
  </si>
  <si>
    <t>Syria</t>
  </si>
  <si>
    <t>Switzerland</t>
  </si>
  <si>
    <t>Sweden</t>
  </si>
  <si>
    <t>Suriname</t>
  </si>
  <si>
    <t>Sudan</t>
  </si>
  <si>
    <t>Sri Lanka</t>
  </si>
  <si>
    <t>Spain</t>
  </si>
  <si>
    <t>South Africa</t>
  </si>
  <si>
    <t>Somalia</t>
  </si>
  <si>
    <t>Slovenia</t>
  </si>
  <si>
    <t>Slovakia</t>
  </si>
  <si>
    <t>Singapore</t>
  </si>
  <si>
    <t>Sierra Leone</t>
  </si>
  <si>
    <t xml:space="preserve">Serbia </t>
  </si>
  <si>
    <t>Senegal</t>
  </si>
  <si>
    <t>Saudi Arabia</t>
  </si>
  <si>
    <t>Russia</t>
  </si>
  <si>
    <t>Romania</t>
  </si>
  <si>
    <t>Qatar</t>
  </si>
  <si>
    <t>Portugal</t>
  </si>
  <si>
    <t>Poland</t>
  </si>
  <si>
    <t>Philippines</t>
  </si>
  <si>
    <t>Peru</t>
  </si>
  <si>
    <t>Paraguay</t>
  </si>
  <si>
    <t>Papua New Guinea</t>
  </si>
  <si>
    <t>Panama</t>
  </si>
  <si>
    <t>Pakistan</t>
  </si>
  <si>
    <t>Oman</t>
  </si>
  <si>
    <t>Norway</t>
  </si>
  <si>
    <t>Nigeria</t>
  </si>
  <si>
    <t>Niger</t>
  </si>
  <si>
    <t>Nicaragua</t>
  </si>
  <si>
    <t>New Zealand</t>
  </si>
  <si>
    <t>Netherlands</t>
  </si>
  <si>
    <t>Namibia</t>
  </si>
  <si>
    <t>Myanmar</t>
  </si>
  <si>
    <t>Mozambique</t>
  </si>
  <si>
    <t>Morocco</t>
  </si>
  <si>
    <t>Mongolia</t>
  </si>
  <si>
    <t>Moldova</t>
  </si>
  <si>
    <t>Mexico</t>
  </si>
  <si>
    <t>Malta</t>
  </si>
  <si>
    <t>Mali</t>
  </si>
  <si>
    <t>Malaysia</t>
  </si>
  <si>
    <t>Malawi</t>
  </si>
  <si>
    <t>Madagascar</t>
  </si>
  <si>
    <t>Luxembourg</t>
  </si>
  <si>
    <t>Lithuania</t>
  </si>
  <si>
    <t>Libya</t>
  </si>
  <si>
    <t>Liberia</t>
  </si>
  <si>
    <t>Lebanon</t>
  </si>
  <si>
    <t>Latvia</t>
  </si>
  <si>
    <t>Kuwait</t>
  </si>
  <si>
    <t>Korea, Republic</t>
  </si>
  <si>
    <t>Korea, D.P.R.</t>
  </si>
  <si>
    <t>Kenya</t>
  </si>
  <si>
    <t>Kazakhstan</t>
  </si>
  <si>
    <t>Jordan</t>
  </si>
  <si>
    <t>Japan</t>
  </si>
  <si>
    <t>Jamaica</t>
  </si>
  <si>
    <t>Italy</t>
  </si>
  <si>
    <t>Israel</t>
  </si>
  <si>
    <t>Ireland</t>
  </si>
  <si>
    <t>Iraq</t>
  </si>
  <si>
    <t>Iran</t>
  </si>
  <si>
    <t>Indonesia</t>
  </si>
  <si>
    <t>India</t>
  </si>
  <si>
    <t>Iceland</t>
  </si>
  <si>
    <t>Hungary</t>
  </si>
  <si>
    <t>Hong Kong</t>
  </si>
  <si>
    <t>Honduras</t>
  </si>
  <si>
    <t>Haiti</t>
  </si>
  <si>
    <t>Guyana</t>
  </si>
  <si>
    <t>Guinea-Bissau</t>
  </si>
  <si>
    <t>Guinea</t>
  </si>
  <si>
    <t>Guatemala</t>
  </si>
  <si>
    <t>Greece</t>
  </si>
  <si>
    <t>Ghana</t>
  </si>
  <si>
    <t>Germany</t>
  </si>
  <si>
    <t>Gambia</t>
  </si>
  <si>
    <t>Gabon</t>
  </si>
  <si>
    <t>France</t>
  </si>
  <si>
    <t>Finland</t>
  </si>
  <si>
    <t>Ethiopia</t>
  </si>
  <si>
    <t>Estonia</t>
  </si>
  <si>
    <t>El Salvador</t>
  </si>
  <si>
    <t>Egypt</t>
  </si>
  <si>
    <t>Ecuador</t>
  </si>
  <si>
    <t>Dominican Republic</t>
  </si>
  <si>
    <t>Denmark</t>
  </si>
  <si>
    <t>Czech Republic</t>
  </si>
  <si>
    <t>Cyprus</t>
  </si>
  <si>
    <t>Cuba</t>
  </si>
  <si>
    <t>Croatia</t>
  </si>
  <si>
    <t>Cote d'Ivoire</t>
  </si>
  <si>
    <t>Costa Rica</t>
  </si>
  <si>
    <t>Congo, Republic</t>
  </si>
  <si>
    <t>Congo, Dem. Republic</t>
  </si>
  <si>
    <t>Colombia</t>
  </si>
  <si>
    <t>China, Peoples' Rep.</t>
  </si>
  <si>
    <t>Chile</t>
  </si>
  <si>
    <t>Canada</t>
  </si>
  <si>
    <t>Cameroon</t>
  </si>
  <si>
    <t>Burkina Faso</t>
  </si>
  <si>
    <t>Bulgaria</t>
  </si>
  <si>
    <t>Brunei</t>
  </si>
  <si>
    <t>Brazil</t>
  </si>
  <si>
    <t>Botswana</t>
  </si>
  <si>
    <t>Bolivia</t>
  </si>
  <si>
    <t>Belgium</t>
  </si>
  <si>
    <t>Belarus</t>
  </si>
  <si>
    <t>Bangladesh</t>
  </si>
  <si>
    <t>Bahrain</t>
  </si>
  <si>
    <t>Bahamas</t>
  </si>
  <si>
    <t>Azerbaijan</t>
  </si>
  <si>
    <t>Austria</t>
  </si>
  <si>
    <t>Australia</t>
  </si>
  <si>
    <t>Armenia</t>
  </si>
  <si>
    <t>Argentina</t>
  </si>
  <si>
    <t>Angola</t>
  </si>
  <si>
    <t>Algeria</t>
  </si>
  <si>
    <t>Albania</t>
  </si>
  <si>
    <t>01/11</t>
  </si>
  <si>
    <t>COUNTRY</t>
  </si>
  <si>
    <t>Total Risk</t>
  </si>
  <si>
    <t>Risk</t>
  </si>
  <si>
    <t>Economic</t>
  </si>
  <si>
    <t>Financial</t>
  </si>
  <si>
    <r>
      <t>·</t>
    </r>
    <r>
      <rPr>
        <sz val="7"/>
        <rFont val="Times New Roman"/>
        <family val="1"/>
      </rPr>
      <t xml:space="preserve">         </t>
    </r>
    <r>
      <rPr>
        <sz val="12"/>
        <rFont val="Calibri"/>
      </rPr>
      <t>Express clearly your own understanding of the business concept (and its social impacts);</t>
    </r>
  </si>
  <si>
    <r>
      <t xml:space="preserve">11 </t>
    </r>
    <r>
      <rPr>
        <b/>
        <i/>
        <u/>
        <sz val="14"/>
        <rFont val="Calibri"/>
        <family val="2"/>
      </rPr>
      <t>Financial Plan</t>
    </r>
  </si>
  <si>
    <r>
      <t xml:space="preserve">12 </t>
    </r>
    <r>
      <rPr>
        <b/>
        <i/>
        <u/>
        <sz val="14"/>
        <rFont val="Calibri"/>
        <family val="2"/>
      </rPr>
      <t>Funding Request</t>
    </r>
  </si>
  <si>
    <r>
      <t>12</t>
    </r>
    <r>
      <rPr>
        <b/>
        <i/>
        <u/>
        <sz val="14"/>
        <rFont val="Calibri"/>
        <family val="2"/>
      </rPr>
      <t xml:space="preserve"> Appendices</t>
    </r>
  </si>
  <si>
    <t>Relationshisp</t>
  </si>
  <si>
    <t>If there are other istitutions (public or private) involved in managing, introduce them and explain how they will partecipate to your task.</t>
  </si>
  <si>
    <r>
      <t>·</t>
    </r>
    <r>
      <rPr>
        <sz val="7"/>
        <rFont val="Times New Roman"/>
        <family val="1"/>
      </rPr>
      <t xml:space="preserve">         </t>
    </r>
    <r>
      <rPr>
        <sz val="12"/>
        <rFont val="Calibri"/>
      </rPr>
      <t>Who are them? Are they private or public istitutions?</t>
    </r>
  </si>
  <si>
    <r>
      <t>·</t>
    </r>
    <r>
      <rPr>
        <sz val="7"/>
        <rFont val="Times New Roman"/>
        <family val="1"/>
      </rPr>
      <t>        </t>
    </r>
    <r>
      <rPr>
        <sz val="12"/>
        <rFont val="Calibri"/>
      </rPr>
      <t>Are they national or istitutions?</t>
    </r>
  </si>
  <si>
    <r>
      <t>·</t>
    </r>
    <r>
      <rPr>
        <sz val="7"/>
        <rFont val="Times New Roman"/>
        <family val="1"/>
      </rPr>
      <t xml:space="preserve">        </t>
    </r>
    <r>
      <rPr>
        <sz val="12"/>
        <rFont val="Calibri"/>
      </rPr>
      <t>H</t>
    </r>
    <r>
      <rPr>
        <sz val="12"/>
        <rFont val="Calibri"/>
      </rPr>
      <t>ow are they involved to your venture? are there partnerships? How will they partecipate to your task?</t>
    </r>
  </si>
  <si>
    <t>Highlight key aspects (economic and social) of your success strategy, focusing on your  future self-financing, bat that you need funds to begin.</t>
  </si>
  <si>
    <r>
      <t>_</t>
    </r>
    <r>
      <rPr>
        <i/>
        <sz val="12"/>
        <rFont val="Calibri"/>
        <family val="2"/>
      </rPr>
      <t>Social Enrepreneurship startup</t>
    </r>
    <r>
      <rPr>
        <sz val="12"/>
        <rFont val="Calibri"/>
      </rPr>
      <t>,Paper of Stanford University</t>
    </r>
  </si>
  <si>
    <t xml:space="preserve">Different types of readers will look for different information in a business plan. If you are clear about who your readers will be, </t>
  </si>
  <si>
    <t>then you can provide them with the information they consider most important.</t>
  </si>
  <si>
    <r>
      <t>·</t>
    </r>
    <r>
      <rPr>
        <sz val="7"/>
        <rFont val="Times New Roman"/>
        <family val="1"/>
      </rPr>
      <t xml:space="preserve">         </t>
    </r>
    <r>
      <rPr>
        <i/>
        <sz val="12"/>
        <rFont val="Calibri"/>
        <family val="2"/>
      </rPr>
      <t xml:space="preserve">The key strategies – </t>
    </r>
    <r>
      <rPr>
        <sz val="12"/>
        <rFont val="Calibri"/>
      </rPr>
      <t xml:space="preserve">what differentiates your product or service from competitors’ offering and, especially for social ventures, </t>
    </r>
  </si>
  <si>
    <t xml:space="preserve">   which social advantages you will achieve and how you will obtain them;</t>
  </si>
  <si>
    <t>The purposes of the business description are:</t>
  </si>
  <si>
    <r>
      <t>·</t>
    </r>
    <r>
      <rPr>
        <sz val="7"/>
        <rFont val="Times New Roman"/>
        <family val="1"/>
      </rPr>
      <t xml:space="preserve">         </t>
    </r>
    <r>
      <rPr>
        <sz val="12"/>
        <rFont val="Calibri"/>
      </rPr>
      <t>Who are your competitors within the industry? Who sell the same or similar products or services to customers within your market?</t>
    </r>
  </si>
  <si>
    <t xml:space="preserve">   Who sell other offering that meet the same needs your proposed product or service will meet?</t>
  </si>
  <si>
    <t>The operation plan gives an overview of the flow of the daily activities of the business and the strategies that support them;</t>
  </si>
  <si>
    <t>it is the transforming of the ideas or the row materials into products or services to be sold to the customers.</t>
  </si>
  <si>
    <t>FCFE STABLE GROWTH MODEL</t>
  </si>
  <si>
    <t>This model is designed to value the equity in a stable firm on the basis of</t>
  </si>
  <si>
    <t>free cashflows to equity, especially when they are</t>
  </si>
  <si>
    <t>different from dividends paid.</t>
  </si>
  <si>
    <t>Assumptions in the model:</t>
  </si>
  <si>
    <t>1. The firm is in steady state and will grow at a stable rate forever.</t>
  </si>
  <si>
    <t>2. The firm does not pay out what it can afford to in dividends, i.e., Dividends ≠ FCFE.</t>
  </si>
  <si>
    <t>User defined inputs</t>
  </si>
  <si>
    <t>The user has to define the following inputs to the model:</t>
  </si>
  <si>
    <t xml:space="preserve">1. Current Earnings per share </t>
  </si>
  <si>
    <t>2. Capital Spending and Depreciation per share</t>
  </si>
  <si>
    <t>3. Change in working capital per share</t>
  </si>
  <si>
    <t>4. Desired debt level for financing working capital and capital spending needs.</t>
  </si>
  <si>
    <t>5. Cost of Equity or Inputs to the CAPM (Beta, Riskfree rate, Risk Premium)</t>
  </si>
  <si>
    <t>6. Expected Growth Rate in free cashflows to equity forever.</t>
  </si>
  <si>
    <t>Please enter inputs to the model:</t>
  </si>
  <si>
    <t>Current Earnings per share =</t>
  </si>
  <si>
    <t>Capital Spending/share =</t>
  </si>
  <si>
    <t>Depreciation / share =</t>
  </si>
  <si>
    <t>Chg. Working Capital/share =</t>
  </si>
  <si>
    <t>Desired debt financing ratio =</t>
  </si>
  <si>
    <t>Do you want to offset capital expenditures by depreciation in the future?</t>
  </si>
  <si>
    <t>No</t>
  </si>
  <si>
    <t>Do you want to recompute this reinvestment rate based upon fundamentals?</t>
  </si>
  <si>
    <t>Yes</t>
  </si>
  <si>
    <t>Are you directly entering the cost of equity? (Yes or No)</t>
  </si>
  <si>
    <t>If no, enter the inputs for the CAPM</t>
  </si>
  <si>
    <t>Beta of the stock =</t>
  </si>
  <si>
    <t>Riskfree rate =</t>
  </si>
  <si>
    <t>Risk Premium=</t>
  </si>
  <si>
    <t>Expected Growth Rate =</t>
  </si>
  <si>
    <t>This is the output from the Gordon Growth Model</t>
  </si>
  <si>
    <t>Firm Details: from inputs on prior page</t>
  </si>
  <si>
    <t xml:space="preserve">  -(1- Desired debt fraction) *</t>
  </si>
  <si>
    <t xml:space="preserve"> -(1- Desired debt fraction) *</t>
  </si>
  <si>
    <t>Free Cashflow to Equity =</t>
  </si>
  <si>
    <t>Cost of Equity =</t>
  </si>
  <si>
    <t>Expected Growth rate =</t>
  </si>
  <si>
    <t>Gordon Growth Model Value =</t>
  </si>
  <si>
    <t>Growth rate</t>
  </si>
  <si>
    <t>Value</t>
  </si>
  <si>
    <t>FCFF STABLE GROWTH MODEL</t>
  </si>
  <si>
    <t>This model is designed to value  a stable firm on the basis of</t>
  </si>
  <si>
    <t>free cashflows to firm.</t>
  </si>
  <si>
    <t>2. The firm's leverage is known and constant.</t>
  </si>
  <si>
    <t>1. Current EBIT and tax rate</t>
  </si>
  <si>
    <t>2. Capital Spending and Depreciation</t>
  </si>
  <si>
    <t>3. Change in working capital</t>
  </si>
  <si>
    <t>4. Debt ratio</t>
  </si>
  <si>
    <t>5. Cost of Equity or Inputs to the CAPM (Beta, Riskfree rate, Risk Premium) and Cost of Debt</t>
  </si>
  <si>
    <t>6. Expected Growth Rate in free cashflows to firm forever.</t>
  </si>
  <si>
    <t>Current EBIT</t>
  </si>
  <si>
    <t>Current tax rate =</t>
  </si>
  <si>
    <t>Capital Expenditures</t>
  </si>
  <si>
    <t>Depreciation =</t>
  </si>
  <si>
    <t>Change in Working Capital =</t>
  </si>
  <si>
    <t>Do you want to change the capital expenditure/depreciation ratio?</t>
  </si>
  <si>
    <t>If so, enter capital expenditures as a percent of depreciation</t>
  </si>
  <si>
    <t>Debt ratio =</t>
  </si>
  <si>
    <t>Enter the cost of debt =</t>
  </si>
  <si>
    <t>This is a pre-tax cost of borrowing.</t>
  </si>
  <si>
    <t>This is the output from the  Model</t>
  </si>
  <si>
    <t>EBIT (1- tax rate) =</t>
  </si>
  <si>
    <t xml:space="preserve"> - (Capital Spending - Depreciation)</t>
  </si>
  <si>
    <t xml:space="preserve"> - Change in Working Capital</t>
  </si>
  <si>
    <t>Free Cashflow to Firm =</t>
  </si>
  <si>
    <t>Cost of Debt =</t>
  </si>
  <si>
    <t>Cost of Capital =</t>
  </si>
  <si>
    <t>Value of Firm</t>
  </si>
  <si>
    <t>Tax rate</t>
  </si>
  <si>
    <t>Debt in the capital structure</t>
  </si>
  <si>
    <t>Profit before taxes</t>
  </si>
  <si>
    <t>Profit after taxes</t>
  </si>
  <si>
    <t>Dividends</t>
  </si>
  <si>
    <t>Total payments to security holders</t>
  </si>
  <si>
    <t>Required return on debt</t>
  </si>
  <si>
    <t>Required return on equity</t>
  </si>
  <si>
    <t>Market value of debt</t>
  </si>
  <si>
    <t>Market value of equity</t>
  </si>
  <si>
    <t>Market value of the firm</t>
  </si>
  <si>
    <t>Book value of debt</t>
  </si>
  <si>
    <t>Book value of equity</t>
  </si>
  <si>
    <t>Book value of the firm</t>
  </si>
  <si>
    <t>Return on total capital</t>
  </si>
  <si>
    <t>Return on equity</t>
  </si>
  <si>
    <t>Number of shares outstanding</t>
  </si>
  <si>
    <t>Price per share</t>
  </si>
  <si>
    <t>Earnings per share</t>
  </si>
  <si>
    <t>Price-earnings ratio</t>
  </si>
  <si>
    <t>Book value debt ratio</t>
  </si>
  <si>
    <t>Market value debt ratio</t>
  </si>
  <si>
    <t>Weighted average cost of capital</t>
  </si>
  <si>
    <t>Free cash flow</t>
  </si>
  <si>
    <t>Note:  The number of shares and price per share are computed from the following considerations.</t>
  </si>
  <si>
    <t xml:space="preserve">Assume the change from 0% debt to any other amount of debt is accomplished by repurchasing </t>
  </si>
  <si>
    <t>shares with the borrowed funds.  Then the price per share times the number of shares repurchased</t>
  </si>
  <si>
    <t>must equal the amount borrowed.  Also, the price per share times the number of shares remaining</t>
  </si>
  <si>
    <t>must equal the market value of equity.  Together, these imply that the price per share times 5000</t>
  </si>
  <si>
    <t>must equal the market value of the firm.  This fact is used to compute the price per share and then</t>
  </si>
  <si>
    <t>the number of shares is found by dividing the market value of equity by the price per share.</t>
  </si>
  <si>
    <t>Cost of debt</t>
  </si>
  <si>
    <t>Cost of equity</t>
  </si>
  <si>
    <t>After-tax cost of debt</t>
  </si>
  <si>
    <t xml:space="preserve">            SUMMARY OF CASH FLOW VALUATION METHODS</t>
  </si>
  <si>
    <t>Subtract Actual Taxes [(Tax Rate) * (EBIT - Interest)]</t>
  </si>
  <si>
    <t>Subtract Hypothetical Taxes (Tax Rate) * EBIT)</t>
  </si>
  <si>
    <t>Less: Interest</t>
  </si>
  <si>
    <t>Less:  Debt Payments</t>
  </si>
  <si>
    <t>Plus:  Debt Issues</t>
  </si>
  <si>
    <t>CAPITAL CASH FLOW</t>
  </si>
  <si>
    <t>EQUITY CASH FLOW</t>
  </si>
  <si>
    <t>FREE CASH FLOW</t>
  </si>
  <si>
    <t>Discount At Expected Asset Return (Before tax rates)</t>
  </si>
  <si>
    <t>Discount at Expected Equity Return</t>
  </si>
  <si>
    <t>Discount at Weighted Average Cost of Capital (After tax rates)</t>
  </si>
  <si>
    <t>CASH FLOW VALUATION MODEL</t>
  </si>
  <si>
    <t>Unlevered Beta</t>
  </si>
  <si>
    <t>Riskfree Rate</t>
  </si>
  <si>
    <t>Risk Premium</t>
  </si>
  <si>
    <t>Debt Ratio (Debt %)</t>
  </si>
  <si>
    <t>Change in Working Capital</t>
  </si>
  <si>
    <t>EBIT Margin (%)</t>
  </si>
  <si>
    <t>Tax Rate</t>
  </si>
  <si>
    <t>CAPITAL CASH FLOW VALUATION</t>
  </si>
  <si>
    <t>EQUITY CASH FLOW VALUATION</t>
  </si>
  <si>
    <t>FREE CASH FLOW VALUATION</t>
  </si>
  <si>
    <t>Debt = Debt% * Firm Value</t>
  </si>
  <si>
    <t>Sales</t>
  </si>
  <si>
    <t>EBIT Margin</t>
  </si>
  <si>
    <t>Depreciation</t>
  </si>
  <si>
    <t>OPERATING CASH FLOW</t>
  </si>
  <si>
    <t>Taxes = TR * (EBIT - Interest)</t>
  </si>
  <si>
    <t>Taxes = TR * (EBIT)</t>
  </si>
  <si>
    <t>Capital Cash Flow</t>
  </si>
  <si>
    <t>Equity Cash Flow</t>
  </si>
  <si>
    <t>Free Cash Flow</t>
  </si>
  <si>
    <t>Expected Asset Return</t>
  </si>
  <si>
    <t>Expected Equity Return</t>
  </si>
  <si>
    <t>Weighted Average Cost of Capital</t>
  </si>
  <si>
    <t>If the actual discount rate (which is the theoretic cost of funds to the NGO / Company or investor in question) is lower than the IRR, the project or investment should be undertaken.</t>
  </si>
  <si>
    <t>EBITDA</t>
  </si>
  <si>
    <t>ASSETS</t>
  </si>
  <si>
    <t>31/12/X+1</t>
  </si>
  <si>
    <t>31/12/X</t>
  </si>
  <si>
    <t>Subscribed capital</t>
  </si>
  <si>
    <t>Amounts owed as taxes</t>
  </si>
  <si>
    <t>Other debts</t>
  </si>
  <si>
    <t>SERVICES</t>
  </si>
  <si>
    <t>REVENUE FROM SALES AND SERVICES</t>
  </si>
  <si>
    <t>EBIT</t>
  </si>
  <si>
    <t>Your Company Name</t>
  </si>
  <si>
    <t>Balance Sheet</t>
  </si>
  <si>
    <t>Total current assets</t>
  </si>
  <si>
    <t>Total fixed assets</t>
  </si>
  <si>
    <t>Total assets</t>
  </si>
  <si>
    <t>Total liabilities and owner's equity</t>
  </si>
  <si>
    <t>Subtotal</t>
  </si>
  <si>
    <t>Plants &amp; Machinery</t>
  </si>
  <si>
    <t>Tangible</t>
  </si>
  <si>
    <t>Intangible</t>
  </si>
  <si>
    <t>Income Statement</t>
  </si>
  <si>
    <t>TOTAL</t>
  </si>
  <si>
    <t>SEVERANCE INDEMNITY FOR EMPLOYEES</t>
  </si>
  <si>
    <t>Industrial and commercial fixtures</t>
  </si>
  <si>
    <t>Land &amp; Buildings</t>
  </si>
  <si>
    <t>Stocks</t>
  </si>
  <si>
    <t>Receivables</t>
  </si>
  <si>
    <t>From trade debtors</t>
  </si>
  <si>
    <t>From tax authorities</t>
  </si>
  <si>
    <t>From other debtors</t>
  </si>
  <si>
    <t>Cash availability</t>
  </si>
  <si>
    <t>Money and cash values</t>
  </si>
  <si>
    <t>PREPAYMENTS AND ACCRUED INCOME</t>
  </si>
  <si>
    <t>LIABILITIES and OWNER'S EQUITY</t>
  </si>
  <si>
    <t>CAPITAL AND RESERVES</t>
  </si>
  <si>
    <t>Legal reserve</t>
  </si>
  <si>
    <t>Other reserves</t>
  </si>
  <si>
    <t>Profit (loss) for the financial year</t>
  </si>
  <si>
    <t>FUNDS FOR LIABILITIES AND CHARGES</t>
  </si>
  <si>
    <t>DEBTS</t>
  </si>
  <si>
    <t>Amounts owed to trade creditors</t>
  </si>
  <si>
    <t>CURRENT ASSETS</t>
  </si>
  <si>
    <t>ACCRUALS AND DEFERRED INCOME</t>
  </si>
  <si>
    <t>FIXED ASSETS</t>
  </si>
  <si>
    <t>Capitalized costs</t>
  </si>
  <si>
    <t>OTHER OPERATING INCOME</t>
  </si>
  <si>
    <t>PURCHASES OF GOODS</t>
  </si>
  <si>
    <t>INCOME  FROM BANK ACCOUNT'S INTERESTS</t>
  </si>
  <si>
    <t>FINANCIAL INCOME AND EXPENSES</t>
  </si>
  <si>
    <t>PRODUCTION VALUE:</t>
  </si>
  <si>
    <t>PRODUCTION COSTS:</t>
  </si>
  <si>
    <t>CHANGE IN WORK IN PROGRESS AND FINISHED GOODS</t>
  </si>
  <si>
    <t>PERSONNEL COSTS</t>
  </si>
  <si>
    <t>OTHER OPERATING EXPENSES</t>
  </si>
  <si>
    <t>INTERESTS AND OTHER FINANCIAL EXPENSES</t>
  </si>
  <si>
    <t>FINANCIAL INCOME FROM INVESTMENTS</t>
  </si>
  <si>
    <t>GAINS AND LOSSES ON FOREIGN CURRENCY TRANSLATION</t>
  </si>
  <si>
    <t>NET FINANCIAL INCOME (expenses)</t>
  </si>
  <si>
    <t>NET EXTRAORDINARY GAINS AND LOSSES</t>
  </si>
  <si>
    <t>CURRENT AND DEFERRED INCOME TAXES</t>
  </si>
  <si>
    <t>NET INCOME (LOSS)</t>
  </si>
  <si>
    <t>var %</t>
  </si>
  <si>
    <t>Amortisations and depreciations</t>
  </si>
  <si>
    <t>Operating cash flow (UNLEVERED CASH FLOW)</t>
  </si>
  <si>
    <t>Net financial liability</t>
  </si>
  <si>
    <t>Movements in equity</t>
  </si>
  <si>
    <t xml:space="preserve">LEVERED CASH FLOW </t>
  </si>
  <si>
    <t>MOVEMENTS OF NET WORKING CAPITAL</t>
  </si>
  <si>
    <t xml:space="preserve"> Movements of commercial credits in current assets</t>
  </si>
  <si>
    <t>Movements of other credits</t>
  </si>
  <si>
    <t>Movements of Other debts</t>
  </si>
  <si>
    <t>Movements of mounts owed to trade creditors</t>
  </si>
  <si>
    <t>MOVEMENTS OF FIXES ASSETS</t>
  </si>
  <si>
    <t>Movements of Intangible fixed assets</t>
  </si>
  <si>
    <t>Movements of tangible fixed assets</t>
  </si>
  <si>
    <t>Amortisations and Depreciations</t>
  </si>
  <si>
    <t>MOVEMENTS OF NET FINANCIAL LIABILITIES</t>
  </si>
  <si>
    <t>MOVEMENTS IN OWNERS' EQUITY</t>
  </si>
  <si>
    <t>Movements of Subscribed capital</t>
  </si>
  <si>
    <t>Movements of Reserves</t>
  </si>
  <si>
    <t>Adjustment and accruals</t>
  </si>
  <si>
    <t>CASH FLOW variation</t>
  </si>
  <si>
    <r>
      <rPr>
        <sz val="10"/>
        <rFont val="Calibri"/>
        <family val="2"/>
      </rPr>
      <t>Δ</t>
    </r>
    <r>
      <rPr>
        <sz val="10"/>
        <rFont val="Arial"/>
      </rPr>
      <t xml:space="preserve"> "Prepayment and accrued income"</t>
    </r>
  </si>
  <si>
    <r>
      <rPr>
        <sz val="10"/>
        <rFont val="Calibri"/>
        <family val="2"/>
      </rPr>
      <t>Δ</t>
    </r>
    <r>
      <rPr>
        <sz val="10"/>
        <rFont val="Arial"/>
      </rPr>
      <t xml:space="preserve"> stocks</t>
    </r>
  </si>
  <si>
    <r>
      <rPr>
        <sz val="10"/>
        <rFont val="Calibri"/>
        <family val="2"/>
      </rPr>
      <t>Δ</t>
    </r>
    <r>
      <rPr>
        <sz val="10"/>
        <rFont val="Arial"/>
      </rPr>
      <t xml:space="preserve"> debt for taxes</t>
    </r>
  </si>
  <si>
    <t>CASH FLOW FROM OPERATING ACTIVITIES</t>
  </si>
  <si>
    <t>CASH FLOW FROM FINANCIAL ACTIVITIES</t>
  </si>
  <si>
    <t>CASH FLOW FROM INVESTING ACTIVITIES</t>
  </si>
  <si>
    <t>CASH FLOW FROM OWNERS' EQUITY</t>
  </si>
  <si>
    <t>CASH FLOW FROM WORKING CAPITAL</t>
  </si>
  <si>
    <r>
      <rPr>
        <sz val="10"/>
        <rFont val="Calibri"/>
        <family val="2"/>
      </rPr>
      <t>Δ</t>
    </r>
    <r>
      <rPr>
        <sz val="10"/>
        <rFont val="Arial"/>
      </rPr>
      <t xml:space="preserve"> "Accruals and deferred income"</t>
    </r>
  </si>
  <si>
    <t>Net income (loss)</t>
  </si>
  <si>
    <t>Current and deferred income taxes</t>
  </si>
  <si>
    <t>Net extraordinary gains and losses</t>
  </si>
  <si>
    <t>Net financial income (expenses)</t>
  </si>
  <si>
    <t>Movements of net working capital</t>
  </si>
  <si>
    <r>
      <rPr>
        <sz val="10"/>
        <rFont val="Calibri"/>
        <family val="2"/>
      </rPr>
      <t>Δ</t>
    </r>
    <r>
      <rPr>
        <sz val="10"/>
        <rFont val="Arial"/>
      </rPr>
      <t xml:space="preserve"> severance indemnity for employees</t>
    </r>
  </si>
  <si>
    <t>Changes in CAPEX less-accumulated depreciations</t>
  </si>
  <si>
    <t>Starting net cash availabilities</t>
  </si>
  <si>
    <t>Final net cash availabilities</t>
  </si>
  <si>
    <t>Balance Sheet Variation</t>
  </si>
  <si>
    <t>INDICI DI STRUTTURA FINANZIARIA</t>
  </si>
  <si>
    <t>Quick ratio</t>
  </si>
  <si>
    <t>Current ratio</t>
  </si>
  <si>
    <t>Liquidity</t>
  </si>
  <si>
    <t>Current assets/Current liabilities</t>
  </si>
  <si>
    <t>(Total current assets-inventory)/Total current liabilities</t>
  </si>
  <si>
    <t>Capital Structure</t>
  </si>
  <si>
    <t>Equity financing</t>
  </si>
  <si>
    <t>Fund balance/Total assets</t>
  </si>
  <si>
    <t>Total debt/total assets</t>
  </si>
  <si>
    <t>Total liabilities/Total assets</t>
  </si>
  <si>
    <t>Debt service coverage</t>
  </si>
  <si>
    <t>Activity</t>
  </si>
  <si>
    <t>Total asset turnover</t>
  </si>
  <si>
    <t>Total operating revenue/Total assets</t>
  </si>
  <si>
    <t>Fixed asset turnover</t>
  </si>
  <si>
    <t>Total operating revenue/Net fixed assets</t>
  </si>
  <si>
    <t>Current asset turnover</t>
  </si>
  <si>
    <t>Total operating revenue/Current assets</t>
  </si>
  <si>
    <t>Sales-To-Assets</t>
  </si>
  <si>
    <t>Sales/Total Assets</t>
  </si>
  <si>
    <t>Inventory Turnover</t>
  </si>
  <si>
    <t>Cost of Goods Sold/Inventory</t>
  </si>
  <si>
    <t>Inventory Turn-Days</t>
  </si>
  <si>
    <t>360/Inventory Turnover</t>
  </si>
  <si>
    <t>Accounts Receivable Turnover</t>
  </si>
  <si>
    <t>Sales/Accounts Receivable</t>
  </si>
  <si>
    <t>Average Collection Period</t>
  </si>
  <si>
    <t>360/Accounts Receivable Turnover</t>
  </si>
  <si>
    <t>Accounts Payable Turnover</t>
  </si>
  <si>
    <t>Cost of Goods Sold/Account Payable</t>
  </si>
  <si>
    <t>Average Payment Period</t>
  </si>
  <si>
    <t>360/Accounts Payable Turnover</t>
  </si>
  <si>
    <t>Return On Equity</t>
  </si>
  <si>
    <t>Return On Investment</t>
  </si>
  <si>
    <t>Interests expenses/debts</t>
  </si>
  <si>
    <t>Leverage</t>
  </si>
  <si>
    <t>Iiabilities/Net Worth</t>
  </si>
  <si>
    <t>Overall Efficiency Ratios</t>
  </si>
  <si>
    <t>Specific Efficiency Ratios</t>
  </si>
  <si>
    <t>RENTS</t>
  </si>
  <si>
    <t>Contents:</t>
  </si>
  <si>
    <t>Ratios</t>
  </si>
  <si>
    <t>Leasing capital stock</t>
  </si>
  <si>
    <t>Revenue ( p x q)</t>
  </si>
  <si>
    <t>Contribution Margin</t>
  </si>
  <si>
    <t>Year (X+1)</t>
  </si>
  <si>
    <t>∆ EBIT =</t>
  </si>
  <si>
    <t xml:space="preserve"> - Variable costs</t>
  </si>
  <si>
    <t xml:space="preserve"> - Fixed costs</t>
  </si>
  <si>
    <t>Degree of Operating Leverage</t>
  </si>
  <si>
    <t>OPERATING LEVERAGE</t>
  </si>
  <si>
    <r>
      <t xml:space="preserve">The </t>
    </r>
    <r>
      <rPr>
        <b/>
        <sz val="10"/>
        <rFont val="Arial"/>
        <family val="2"/>
      </rPr>
      <t xml:space="preserve">operating leverage </t>
    </r>
    <r>
      <rPr>
        <sz val="10"/>
        <rFont val="Arial"/>
      </rPr>
      <t xml:space="preserve">is a measure of how revenue growth transaletes into growth in operating income. </t>
    </r>
  </si>
  <si>
    <t>Variable costs on Revenue=</t>
  </si>
  <si>
    <t>Year (X+2)</t>
  </si>
  <si>
    <t>Fixed costs=</t>
  </si>
  <si>
    <t>∆ EBIT</t>
  </si>
  <si>
    <r>
      <t xml:space="preserve">Effect of Operating Leverage </t>
    </r>
    <r>
      <rPr>
        <b/>
        <i/>
        <sz val="10"/>
        <rFont val="Calibri"/>
        <family val="2"/>
      </rPr>
      <t>→</t>
    </r>
  </si>
  <si>
    <t>Degree of Operating Leverage = Contribution Margin / Operating Income</t>
  </si>
  <si>
    <r>
      <rPr>
        <b/>
        <sz val="10"/>
        <rFont val="Calibri"/>
        <family val="2"/>
      </rPr>
      <t>∆</t>
    </r>
    <r>
      <rPr>
        <b/>
        <sz val="10"/>
        <rFont val="Arial"/>
        <family val="2"/>
      </rPr>
      <t xml:space="preserve"> Contribution Margin</t>
    </r>
  </si>
  <si>
    <t>It's referred to the percentage of fixed costs in a company's cost structure.</t>
  </si>
  <si>
    <t>Return on Sales</t>
  </si>
  <si>
    <t>Grant/Donations</t>
  </si>
  <si>
    <t xml:space="preserve"> Do you want the reader:</t>
  </si>
  <si>
    <t>You get one chance to make a good first impression. Grab that chance. Present a document that:</t>
  </si>
  <si>
    <t>The exact items in a structure plan will vary from business to business but, broadly, they will be:</t>
  </si>
  <si>
    <t>A huge tome can be very intimidating to your reader, so try to keep the plan itself to a manageable size and put detailed data or evidence in the appendices.</t>
  </si>
  <si>
    <t>Preparing the cover page</t>
  </si>
  <si>
    <t>To ensure a positive first impression, your cover page should:</t>
  </si>
  <si>
    <t>Developing the table of contents</t>
  </si>
  <si>
    <t>The next page of the plan, the table of contents, let the readers know which topics will be covered.</t>
  </si>
  <si>
    <t>Balance sheet variation</t>
  </si>
  <si>
    <t>Solvency</t>
  </si>
  <si>
    <t>Financing assets</t>
  </si>
  <si>
    <t>Cash and Accounts Receivable (at the net of Prepayments&amp;Accrued Income and Accruals&amp;Deferred Income) for every unit of Current Liabilities</t>
  </si>
  <si>
    <t xml:space="preserve"> Current Assets Value for every unit in Current Liabilites.</t>
  </si>
  <si>
    <t>Financial risk</t>
  </si>
  <si>
    <t>Debt reimboursement capability</t>
  </si>
  <si>
    <t>Liabilities value for every unit invested in assets</t>
  </si>
  <si>
    <t>Net Worth value for every unit invested in assets</t>
  </si>
  <si>
    <t>Reimboursement for every 1$ owed from Banks</t>
  </si>
  <si>
    <t>Cash availablility to cover one unit of debt (including lease) payments</t>
  </si>
  <si>
    <t>Efficiency of Total Assets</t>
  </si>
  <si>
    <t>Efficiency of Net fixed Assets</t>
  </si>
  <si>
    <t>Efficient o Current Assets</t>
  </si>
  <si>
    <t>Profitability at the Gross Profit Level</t>
  </si>
  <si>
    <t>Profitability at the Net Profit level</t>
  </si>
  <si>
    <t xml:space="preserve"> Revenues produced for every unit invested in Total Assets.</t>
  </si>
  <si>
    <t xml:space="preserve"> Revenues produced for every unit invested in Fixed Assets.</t>
  </si>
  <si>
    <t>Revenues produced for every unit invested in Current Assets.</t>
  </si>
  <si>
    <t>Quantity to breakeven increases as time passes because Contribution Margin for single product remains constant, while fixed costs grow esponencially: business model is replied in other cities
This makes the breakeven point farther: almost 20.000 quantity of products are needed in year x+4</t>
  </si>
  <si>
    <t xml:space="preserve">Delta </t>
  </si>
  <si>
    <r>
      <rPr>
        <sz val="10"/>
        <color indexed="8"/>
        <rFont val="Calibri"/>
        <family val="2"/>
      </rPr>
      <t>Δ</t>
    </r>
    <r>
      <rPr>
        <sz val="10"/>
        <color indexed="8"/>
        <rFont val="Arial"/>
        <family val="2"/>
      </rPr>
      <t xml:space="preserve"> severance indemnity for employees</t>
    </r>
  </si>
  <si>
    <r>
      <t>If we suppose a  ∆  Quantity Sold of</t>
    </r>
    <r>
      <rPr>
        <sz val="10"/>
        <color indexed="8"/>
        <rFont val="Arial"/>
        <family val="2"/>
      </rPr>
      <t>.</t>
    </r>
  </si>
  <si>
    <t>first</t>
  </si>
  <si>
    <t>last</t>
  </si>
  <si>
    <t>highest</t>
  </si>
  <si>
    <t>lowest</t>
  </si>
  <si>
    <t>As the Market price in simulated to be costant = 300, the price/BV becomes less than 1, meaning that the market valuates an increasing badwill in the company</t>
  </si>
  <si>
    <t>EV Capitalizzazion</t>
  </si>
  <si>
    <t>Dividend payed</t>
  </si>
  <si>
    <t>Market Price</t>
  </si>
  <si>
    <t>Capitalization</t>
  </si>
  <si>
    <t>as the business grows, the financial structure becomes stronger. So the only year the company has a high risk of failure is the first: if the company makes it through the first year, it really difficult to fail from year x+1 on</t>
  </si>
  <si>
    <t>market price is simulated costant</t>
  </si>
  <si>
    <t>Contribution margin is the same as calculated in the Income Statement</t>
  </si>
  <si>
    <t>tax rate</t>
  </si>
  <si>
    <t>it's possible to set the desired cost of debt. If 
Required return on debt &gt; interest on debt, the company is paying less interests than average maket value</t>
  </si>
  <si>
    <t>it's possible to set the desired cost of equity. It indicates the % of equity the shareholders expect from the shares</t>
  </si>
  <si>
    <t>in this simulation tax rate is fixed to 35%, so values differs from data in Income Statement</t>
  </si>
  <si>
    <t>net profit is here supposed to be entirely distributed as dividends</t>
  </si>
  <si>
    <t>Market value of debt = interest/required return on debt. It indicates the price the debt could be sold by debtors, given the market interest rate (not the interest rate payed payed by the company).</t>
  </si>
  <si>
    <t>book value of debt strongrly differs from market value of debt because the market value is calculated on debt only, while 
book value of debt = debt owed to banks - credits from banks</t>
  </si>
  <si>
    <t>Market value of equity = dividends/ Required return on equity. 
It indicates the price the equity could be sold to the market, given the market value of debt. The value strongly increases as the dividends grow a lot more than the required return on equity does</t>
  </si>
  <si>
    <t>= total assets = total liabilities</t>
  </si>
  <si>
    <t>profitability of entire liabilities (after taxes)</t>
  </si>
  <si>
    <t>profitability of equity</t>
  </si>
  <si>
    <t>Market value of the firm calculated Year by year. It varies as free cash flow varies. The company maximize its value in year x+4, so the best time to sell the company would be in 4 years</t>
  </si>
  <si>
    <t>WACC varies only because Market value debt ratio varies: other variables are fixed</t>
  </si>
  <si>
    <t>The reinvestment rate based upon inputs is</t>
  </si>
  <si>
    <t>Inputs to the model:</t>
  </si>
  <si>
    <t>with constant cost of Equity and cost of Debt, Value of the firm varyis because it varies the proportion between them (debt ratio)</t>
  </si>
  <si>
    <t>If yes, this is the return on equity that this firm is expect to have in perpetuity</t>
  </si>
  <si>
    <t>If yes, this is the cost of equity</t>
  </si>
  <si>
    <t>If no, this are the inputs for the CAPM</t>
  </si>
  <si>
    <t>cost of debt after tax shield</t>
  </si>
  <si>
    <t>cost of debt after tax shield weighted by market value debt ratio</t>
  </si>
  <si>
    <t>cost of equity weighted by market value equity ratio</t>
  </si>
  <si>
    <t>the first 2 years the firm can't reinvest, as earnings are negative: the company is financed with liabilities, not earnings (i.e. auto-financing is not possible).
From year x+2, earnings are sufficient to cover the investments, and the company keeps investing, expecially in fixed assets</t>
  </si>
  <si>
    <t xml:space="preserve">The management team is what makes a business work. It’s the glue that brings the pieces together into a finely formed, dynamic unit. </t>
  </si>
  <si>
    <t>Without the right peoples, anything will move from concept to reality.</t>
  </si>
  <si>
    <t>how much experience team members have in the industry and who their contact are.</t>
  </si>
  <si>
    <r>
      <t>·</t>
    </r>
    <r>
      <rPr>
        <sz val="7"/>
        <rFont val="Times New Roman"/>
        <family val="1"/>
      </rPr>
      <t xml:space="preserve">         </t>
    </r>
    <r>
      <rPr>
        <sz val="12"/>
        <rFont val="Calibri"/>
      </rPr>
      <t xml:space="preserve">How committed are they to this venture? Have they worked together before on project? </t>
    </r>
  </si>
  <si>
    <t>The financial picture you paint here represents your best estimate of the risks involved and the return on investment, the tangible evidence of commercial success.</t>
  </si>
  <si>
    <t>In this section, you should highlight and explain the importance of the significant figures (revenue, gross contribution, operating result, net income)</t>
  </si>
  <si>
    <r>
      <t>·</t>
    </r>
    <r>
      <rPr>
        <sz val="7"/>
        <rFont val="Times New Roman"/>
        <family val="1"/>
      </rPr>
      <t xml:space="preserve">         </t>
    </r>
    <r>
      <rPr>
        <sz val="12"/>
        <rFont val="Calibri"/>
      </rPr>
      <t xml:space="preserve">Cash flow statement (how your business produces/uses cash), including a section showing the times of peak need and peak availability </t>
    </r>
  </si>
  <si>
    <t xml:space="preserve">   which will demonstrate that your plan has accounted for the variability of cash flows (it’s often presented on a quarterly or monthly basis). </t>
  </si>
  <si>
    <t xml:space="preserve">State your assumptions about the estimated industry and market growth rates. Than give your assumptions about the internal variables of the business, </t>
  </si>
  <si>
    <t>such as the variable and fixed costs, growth rate of sales, cost of capital and seasonal cash flow fluctuations.</t>
  </si>
  <si>
    <t xml:space="preserve">Your assumptions are the underpinnings of your financial plan. They should be realistic, within the bounds of industry experience; </t>
  </si>
  <si>
    <t>be sure to document them, including a more detailed set in appendices.</t>
  </si>
  <si>
    <t>Value per share</t>
  </si>
  <si>
    <t>Equity value</t>
  </si>
  <si>
    <t>EV enterprise value</t>
  </si>
  <si>
    <t>Discounted period</t>
  </si>
  <si>
    <t>term value</t>
  </si>
  <si>
    <t>Value p/share</t>
  </si>
  <si>
    <t>Equity Value</t>
  </si>
  <si>
    <t xml:space="preserve"> quotazione al 31/12/2005</t>
  </si>
  <si>
    <t>Gordon Growth Model Value</t>
  </si>
  <si>
    <t>Rf (rendimento risk free)</t>
  </si>
  <si>
    <t>SCORING (Z-SCORE)</t>
  </si>
  <si>
    <t>R.O.I</t>
  </si>
  <si>
    <t>Z&gt;3</t>
  </si>
  <si>
    <t>2.7&lt;Z&lt;=3</t>
  </si>
  <si>
    <t>1.8&lt;=Z&lt;=2.7</t>
  </si>
  <si>
    <t>Z&lt;1.8</t>
  </si>
  <si>
    <t>dividend yield</t>
  </si>
  <si>
    <t>Payout</t>
  </si>
  <si>
    <t>Eps</t>
  </si>
  <si>
    <t>EV / EBITDA</t>
  </si>
  <si>
    <t>Other Ratios</t>
  </si>
  <si>
    <t>Net financial position</t>
  </si>
  <si>
    <t>Difference between cash, credits and banks</t>
  </si>
  <si>
    <t>Capital raised</t>
  </si>
  <si>
    <t>Equity + Finalncial liabilities</t>
  </si>
  <si>
    <t>HIGH</t>
  </si>
  <si>
    <t>MEDIUM-HIGH</t>
  </si>
  <si>
    <t>MEDIUM</t>
  </si>
  <si>
    <t>LOW</t>
  </si>
  <si>
    <t>Discounted Cash Flow Method</t>
  </si>
  <si>
    <t>WACC</t>
  </si>
  <si>
    <t>Growth rate expected</t>
  </si>
  <si>
    <t>Fixed EBITDA</t>
  </si>
  <si>
    <t>Assumption: Working Capital / Sales fixed</t>
  </si>
  <si>
    <t>Depreciation = investiments in fixed assets</t>
  </si>
  <si>
    <t>Tax rate fixed vs EBIT</t>
  </si>
  <si>
    <t>Assumptions:</t>
  </si>
  <si>
    <t>This model give the possibility to analyse the impact of the discounted flows</t>
  </si>
  <si>
    <t>and the company NGO evaluation, starting from these assumptions.</t>
  </si>
  <si>
    <t>This is a DSC method with WACC</t>
  </si>
  <si>
    <t>Revenues</t>
  </si>
  <si>
    <t>EBITDA %</t>
  </si>
  <si>
    <t>Movements of Net Working Capital</t>
  </si>
  <si>
    <t>Δ severance indemnity for employees</t>
  </si>
  <si>
    <t>Movements of fixed assets</t>
  </si>
  <si>
    <t>Taxes</t>
  </si>
  <si>
    <t>DCF</t>
  </si>
  <si>
    <t>Total DCF</t>
  </si>
  <si>
    <t>capital</t>
  </si>
  <si>
    <t>n° actions</t>
  </si>
  <si>
    <t>market value for n. actions</t>
  </si>
  <si>
    <t>net income for share</t>
  </si>
  <si>
    <t>Dividend for share distributed</t>
  </si>
  <si>
    <t>ratio divided by dividing profit</t>
  </si>
  <si>
    <t>Report dividend divided by share price</t>
  </si>
  <si>
    <t>operating cash flow</t>
  </si>
  <si>
    <t>Beta action</t>
  </si>
  <si>
    <t>risk premium</t>
  </si>
  <si>
    <t>expected growth rate</t>
  </si>
  <si>
    <t>Interest rates</t>
  </si>
  <si>
    <t>Price-BV'</t>
  </si>
  <si>
    <r>
      <t>·</t>
    </r>
    <r>
      <rPr>
        <sz val="7"/>
        <rFont val="Times New Roman"/>
        <family val="1"/>
      </rPr>
      <t xml:space="preserve">         </t>
    </r>
    <r>
      <rPr>
        <sz val="12"/>
        <rFont val="Calibri"/>
      </rPr>
      <t>To help you to run your own business?</t>
    </r>
  </si>
  <si>
    <r>
      <t>·</t>
    </r>
    <r>
      <rPr>
        <sz val="7"/>
        <rFont val="Times New Roman"/>
        <family val="1"/>
      </rPr>
      <t xml:space="preserve">         </t>
    </r>
    <r>
      <rPr>
        <sz val="12"/>
        <rFont val="Calibri"/>
      </rPr>
      <t>Is persuasive;</t>
    </r>
  </si>
  <si>
    <r>
      <t>·</t>
    </r>
    <r>
      <rPr>
        <sz val="7"/>
        <rFont val="Times New Roman"/>
        <family val="1"/>
      </rPr>
      <t xml:space="preserve">         </t>
    </r>
    <r>
      <rPr>
        <sz val="12"/>
        <rFont val="Calibri"/>
      </rPr>
      <t>Looks good;</t>
    </r>
  </si>
  <si>
    <r>
      <t>·</t>
    </r>
    <r>
      <rPr>
        <sz val="7"/>
        <rFont val="Times New Roman"/>
        <family val="1"/>
      </rPr>
      <t xml:space="preserve">         </t>
    </r>
    <r>
      <rPr>
        <sz val="12"/>
        <rFont val="Calibri"/>
      </rPr>
      <t>Is free of spelling, grammatical and numerical errors;</t>
    </r>
  </si>
  <si>
    <r>
      <t>·</t>
    </r>
    <r>
      <rPr>
        <sz val="7"/>
        <rFont val="Times New Roman"/>
        <family val="1"/>
      </rPr>
      <t xml:space="preserve">         </t>
    </r>
    <r>
      <rPr>
        <sz val="12"/>
        <rFont val="Calibri"/>
      </rPr>
      <t>Covers the key issues;</t>
    </r>
  </si>
  <si>
    <r>
      <t>·</t>
    </r>
    <r>
      <rPr>
        <sz val="7"/>
        <rFont val="Times New Roman"/>
        <family val="1"/>
      </rPr>
      <t xml:space="preserve">         </t>
    </r>
    <r>
      <rPr>
        <sz val="12"/>
        <rFont val="Calibri"/>
      </rPr>
      <t>Contains the necessary supporting information.</t>
    </r>
  </si>
  <si>
    <t>The expected growth rate for a stable firm cannot be significantly higher than the nominal growth rate in the economy in which the firm operates. It can be lower.</t>
  </si>
  <si>
    <t>Working capital financed with equity</t>
  </si>
  <si>
    <t>Operting cash flow is here re-built starting from EBIT</t>
  </si>
  <si>
    <t>Interests rate are NOT taken from Income statement: they are supposed to be a constant input</t>
  </si>
  <si>
    <t>all inputs are taken from Business plan or "Other input data" sheet</t>
  </si>
  <si>
    <t>Here is an important iteration: given an amount of debt, it generates interest. If debt &gt;0, then interests &gt; 0, and Cash flow is reduced. If Cash flow is negative, more debt is needed to cover the financing needs. Thus, the new amount of debts generates a bit more interests, wich increases the amount of debt needed, iterating until value is stabilized</t>
  </si>
  <si>
    <t>= debt * risk free rate</t>
  </si>
  <si>
    <t>this is the price of the equity, based on cash flow in generates and expected returns.
Given this values, the best year to sell the company is year X+4</t>
  </si>
  <si>
    <t>Measures Cash Flow available to both equity and debt holders. It includes Benefits of tax deductible interest payments</t>
  </si>
  <si>
    <t>This is the cash flow available to the shareholders.  Equity Cash Flows = Capital Cash Flows - Debt Cash Flows</t>
  </si>
  <si>
    <t>Cash flows available to firm if interest was not a tax-deductible expense</t>
  </si>
  <si>
    <t>Like capital cash flow, measures value of whole firm - cash flows do not include tax benefits of debt since that is in discount rate</t>
  </si>
  <si>
    <t>Measures cash flow available to  stockholders after payments to debt holders are deducted from operating cash flows</t>
  </si>
  <si>
    <t>Earnings Before Interest &amp; Taxes</t>
  </si>
  <si>
    <t>Plus:  Depreciation</t>
  </si>
  <si>
    <t>Less:  Capital Expenditures</t>
  </si>
  <si>
    <t>Less:  Working Capital Increase</t>
  </si>
  <si>
    <t>Equals</t>
  </si>
  <si>
    <t>Operating Cash Flow</t>
  </si>
  <si>
    <t>The simulation takes place every year: for each year, a stable growth rate is simulated. This assumption is most valid in the last 2 years, where the star-up's business is more stable</t>
  </si>
  <si>
    <t>Free Cashflow to Equity calculated here differs from the one in cash flow statement because of different input assumptions</t>
  </si>
  <si>
    <t>This table shows the firm value to shareholders, with different growth rate simulations, year per year. For example, if the firm is sold in yead x+3 and the future growth rate is supposed to be 10%, then the firm value is 10.183 (per share)</t>
  </si>
  <si>
    <t>This table shows the firm value with different growth rate simulations, year per year. For example, if the firm is sold in yead x+2 and the future growth rate is supposed to be 10%, then the given firm value is 1,6 mln</t>
  </si>
  <si>
    <t>Input Box</t>
  </si>
  <si>
    <r>
      <t>t</t>
    </r>
    <r>
      <rPr>
        <b/>
        <sz val="8"/>
        <rFont val="Arial"/>
        <family val="2"/>
      </rPr>
      <t>c</t>
    </r>
    <r>
      <rPr>
        <b/>
        <sz val="10"/>
        <rFont val="Arial"/>
        <family val="2"/>
      </rPr>
      <t xml:space="preserve">= </t>
    </r>
    <r>
      <rPr>
        <b/>
        <i/>
        <sz val="10"/>
        <rFont val="Arial"/>
        <family val="2"/>
      </rPr>
      <t>tax rate=</t>
    </r>
  </si>
  <si>
    <t>OECD Economic Outlook, Volume 2012 Issue 1 - No. 91 - © OECD 2012</t>
  </si>
  <si>
    <t>Statistical Annex</t>
  </si>
  <si>
    <t>Annex Table 18. Consumer prices indices</t>
  </si>
  <si>
    <t>Version 1 - Last updated: 07-Jun-2012</t>
  </si>
  <si>
    <t>Percentage change from previous year</t>
  </si>
  <si>
    <t>Average</t>
  </si>
  <si>
    <t>Fourth quarter</t>
  </si>
  <si>
    <t>1987-97</t>
  </si>
  <si>
    <t xml:space="preserve"> ..    </t>
  </si>
  <si>
    <t>Korea</t>
  </si>
  <si>
    <t>Slovak Republic</t>
  </si>
  <si>
    <t xml:space="preserve"> ..  </t>
  </si>
  <si>
    <t>Euro area</t>
  </si>
  <si>
    <t>1.  Excluding rent, but including imputed rent.</t>
  </si>
  <si>
    <t xml:space="preserve">2.  The consumer price index includes mortgage interest costs.    </t>
  </si>
  <si>
    <t xml:space="preserve">3.  Known as the CPI in the United Kingdom.       </t>
  </si>
  <si>
    <t>This document and any map included herein are without prejudice to the status of or sovereignty over any territory, to the delimitation of international frontiers and boundaries and to the name of any territory, city or area.</t>
  </si>
  <si>
    <r>
      <t>Iceland</t>
    </r>
    <r>
      <rPr>
        <vertAlign val="superscript"/>
        <sz val="8"/>
        <rFont val="Arial"/>
        <family val="2"/>
      </rPr>
      <t>1</t>
    </r>
  </si>
  <si>
    <r>
      <t>Sweden</t>
    </r>
    <r>
      <rPr>
        <vertAlign val="superscript"/>
        <sz val="8"/>
        <rFont val="Arial"/>
        <family val="2"/>
      </rPr>
      <t>2</t>
    </r>
  </si>
  <si>
    <r>
      <t>United Kingdom</t>
    </r>
    <r>
      <rPr>
        <vertAlign val="superscript"/>
        <sz val="8"/>
        <rFont val="Arial"/>
        <family val="2"/>
      </rPr>
      <t>3</t>
    </r>
  </si>
  <si>
    <r>
      <t xml:space="preserve">Note: </t>
    </r>
    <r>
      <rPr>
        <sz val="7"/>
        <rFont val="Arial"/>
        <family val="2"/>
      </rPr>
      <t xml:space="preserve">For the euro area countries, the euro area aggregate and the United Kingdom: harmonised index of consumer prices (HICP).     </t>
    </r>
  </si>
  <si>
    <r>
      <t>Source:</t>
    </r>
    <r>
      <rPr>
        <sz val="7"/>
        <rFont val="Arial"/>
        <family val="2"/>
      </rPr>
      <t xml:space="preserve"> OECD Economic Outlook 91 database.     </t>
    </r>
  </si>
  <si>
    <t>Estimating Country Risk Premiums</t>
  </si>
  <si>
    <t>To estimate the long term country risk premium, I start with the country rating (from Moody's: www.moodys.com) and estimate the default spread for</t>
  </si>
  <si>
    <t>that rating (US corporates and country bonds) over the treasury bond rate. This becomes a measure of the added country risk premium for that country.</t>
  </si>
  <si>
    <t>I add this default spread to the historical risk premium for a mature equity market (estimated from US historical data) to estimate the total risk premium.</t>
  </si>
  <si>
    <t xml:space="preserve">In the short term especially, the equity country risk premium is likely to be greater than the country's default spread. You can estimate an adjusted country risk </t>
  </si>
  <si>
    <t>premium by multiplying the default spread by the relative equity market volatility for that market (Std dev in country equity market/Std dev in country bond)</t>
  </si>
  <si>
    <t>In this spreadsheet, I have used the global average of equity to bond market volatility of 1.5 to estimate the country equity risk premium.</t>
  </si>
  <si>
    <t>Enter the current risk premium for a mature equity market</t>
  </si>
  <si>
    <t>Do you want to adjust the country risk premium for the additional volatility of the equity market?</t>
  </si>
  <si>
    <t>! Yes or No</t>
  </si>
  <si>
    <t>If no, use the country risk premium from the columns below</t>
  </si>
  <si>
    <t>If yes, you can adjust the country risk premium for the relative volatility of the equity market below:</t>
  </si>
  <si>
    <t>Enter the country risk premium from default spread =</t>
  </si>
  <si>
    <t>Enter the standard deviation in the equity market in the country =</t>
  </si>
  <si>
    <t>! Use annualized historical volatility</t>
  </si>
  <si>
    <t>Enter the standard deviation in the long term bond issued by the country =</t>
  </si>
  <si>
    <t>Region</t>
  </si>
  <si>
    <t xml:space="preserve"> Local Currency Rating</t>
  </si>
  <si>
    <t>Adj. Default Spread</t>
  </si>
  <si>
    <t>Total Risk Premium</t>
  </si>
  <si>
    <t>Country Risk Premium</t>
  </si>
  <si>
    <t>Has to be sorted in ascending order</t>
  </si>
  <si>
    <t>Rating</t>
  </si>
  <si>
    <t>Default spread in basis points</t>
  </si>
  <si>
    <t>Average Beta</t>
  </si>
  <si>
    <t>Advertising</t>
  </si>
  <si>
    <t>Aerospace/Defense</t>
  </si>
  <si>
    <t>Air Transport</t>
  </si>
  <si>
    <t>Apparel</t>
  </si>
  <si>
    <t>Auto Parts</t>
  </si>
  <si>
    <t>Bank</t>
  </si>
  <si>
    <t>Biotechnology</t>
  </si>
  <si>
    <t>Building Materials</t>
  </si>
  <si>
    <t>Cable TV</t>
  </si>
  <si>
    <t>Chemical (Basic)</t>
  </si>
  <si>
    <t>Chemical (Diversified)</t>
  </si>
  <si>
    <t>Chemical (Specialty)</t>
  </si>
  <si>
    <t>Computer Software</t>
  </si>
  <si>
    <t>Computers/Peripherals</t>
  </si>
  <si>
    <t>Educational Services</t>
  </si>
  <si>
    <t>Electrical Equipment</t>
  </si>
  <si>
    <t>Electronics</t>
  </si>
  <si>
    <t>Entertainment</t>
  </si>
  <si>
    <t>Food Processing</t>
  </si>
  <si>
    <t>Furn/Home Furnishings</t>
  </si>
  <si>
    <t>Homebuilding</t>
  </si>
  <si>
    <t>Hotel/Gaming</t>
  </si>
  <si>
    <t>Political</t>
  </si>
  <si>
    <t>CURRENT RATINGS</t>
  </si>
  <si>
    <t xml:space="preserve">The Political Risk Services (PRS) group considers political, financial and economic risk indicators </t>
  </si>
  <si>
    <t>to come up a composite measure of risk for each country that ranks from 0 to 100, with 0 being highest risk and 100 being the lowest risk.</t>
  </si>
  <si>
    <t>Total Risk=0,5*(Political Risk+Financial Risk+Economic Risk)</t>
  </si>
  <si>
    <t>The Total Risk is calculate as:</t>
  </si>
  <si>
    <t>average</t>
  </si>
  <si>
    <t>Country</t>
  </si>
  <si>
    <r>
      <t>R</t>
    </r>
    <r>
      <rPr>
        <b/>
        <i/>
        <sz val="8"/>
        <rFont val="Arial"/>
        <family val="2"/>
      </rPr>
      <t>e</t>
    </r>
    <r>
      <rPr>
        <b/>
        <i/>
        <sz val="12"/>
        <rFont val="Arial"/>
        <family val="2"/>
      </rPr>
      <t xml:space="preserve">= </t>
    </r>
    <r>
      <rPr>
        <b/>
        <i/>
        <sz val="10"/>
        <rFont val="Arial"/>
        <family val="2"/>
      </rPr>
      <t>Capital Cost Rate</t>
    </r>
    <r>
      <rPr>
        <b/>
        <i/>
        <sz val="12"/>
        <rFont val="Arial"/>
        <family val="2"/>
      </rPr>
      <t>=</t>
    </r>
  </si>
  <si>
    <t>U.S. Equity Premium + Country Risk premium (Corporate Bond Country Spread)+ Country Expected Inflaction</t>
  </si>
  <si>
    <t>U.S. Equity Premium=</t>
  </si>
  <si>
    <t>Country Risk Premium=</t>
  </si>
  <si>
    <t>Country Expected Inflaction=</t>
  </si>
  <si>
    <t>Re= Capital Cost Rate=</t>
  </si>
  <si>
    <t>g= Firm Growth Rate</t>
  </si>
  <si>
    <t>g=</t>
  </si>
  <si>
    <r>
      <t>R</t>
    </r>
    <r>
      <rPr>
        <b/>
        <i/>
        <sz val="8"/>
        <rFont val="Arial"/>
        <family val="2"/>
      </rPr>
      <t>d</t>
    </r>
    <r>
      <rPr>
        <b/>
        <i/>
        <sz val="12"/>
        <rFont val="Arial"/>
        <family val="2"/>
      </rPr>
      <t xml:space="preserve">= </t>
    </r>
    <r>
      <rPr>
        <b/>
        <i/>
        <sz val="10"/>
        <rFont val="Arial"/>
        <family val="2"/>
      </rPr>
      <t>Debt Discount rate</t>
    </r>
    <r>
      <rPr>
        <b/>
        <i/>
        <sz val="12"/>
        <rFont val="Arial"/>
        <family val="2"/>
      </rPr>
      <t>=</t>
    </r>
  </si>
  <si>
    <t>Country Risk premium=</t>
  </si>
  <si>
    <t>Rd= Debt Discount rate=</t>
  </si>
  <si>
    <r>
      <t xml:space="preserve">                                                                (1+ R</t>
    </r>
    <r>
      <rPr>
        <b/>
        <vertAlign val="subscript"/>
        <sz val="12"/>
        <rFont val="Arial"/>
        <family val="2"/>
      </rPr>
      <t>e</t>
    </r>
    <r>
      <rPr>
        <b/>
        <sz val="12"/>
        <rFont val="Arial"/>
        <family val="2"/>
      </rPr>
      <t>)</t>
    </r>
    <r>
      <rPr>
        <b/>
        <vertAlign val="superscript"/>
        <sz val="12"/>
        <rFont val="Arial"/>
        <family val="2"/>
      </rPr>
      <t>t</t>
    </r>
  </si>
  <si>
    <r>
      <t>FCFE</t>
    </r>
    <r>
      <rPr>
        <b/>
        <i/>
        <vertAlign val="subscript"/>
        <sz val="10"/>
        <rFont val="Arial"/>
        <family val="2"/>
      </rPr>
      <t>n+1</t>
    </r>
    <r>
      <rPr>
        <b/>
        <i/>
        <sz val="10"/>
        <rFont val="Arial"/>
        <family val="2"/>
      </rPr>
      <t>= FCFE</t>
    </r>
    <r>
      <rPr>
        <b/>
        <i/>
        <vertAlign val="subscript"/>
        <sz val="10"/>
        <rFont val="Arial"/>
        <family val="2"/>
      </rPr>
      <t xml:space="preserve">n </t>
    </r>
    <r>
      <rPr>
        <b/>
        <i/>
        <sz val="10"/>
        <rFont val="Arial"/>
        <family val="2"/>
      </rPr>
      <t>* (1 + g)</t>
    </r>
  </si>
  <si>
    <r>
      <t xml:space="preserve">Terminal Value = </t>
    </r>
    <r>
      <rPr>
        <b/>
        <i/>
        <u/>
        <sz val="10"/>
        <rFont val="Arial"/>
        <family val="2"/>
      </rPr>
      <t>FCFE</t>
    </r>
    <r>
      <rPr>
        <b/>
        <i/>
        <u/>
        <vertAlign val="subscript"/>
        <sz val="10"/>
        <rFont val="Arial"/>
        <family val="2"/>
      </rPr>
      <t>n+1</t>
    </r>
  </si>
  <si>
    <r>
      <t xml:space="preserve">                                      </t>
    </r>
    <r>
      <rPr>
        <b/>
        <i/>
        <sz val="10"/>
        <rFont val="Arial"/>
        <family val="2"/>
      </rPr>
      <t>(R</t>
    </r>
    <r>
      <rPr>
        <b/>
        <i/>
        <vertAlign val="subscript"/>
        <sz val="10"/>
        <rFont val="Arial"/>
        <family val="2"/>
      </rPr>
      <t>e</t>
    </r>
    <r>
      <rPr>
        <b/>
        <i/>
        <sz val="10"/>
        <rFont val="Arial"/>
        <family val="2"/>
      </rPr>
      <t xml:space="preserve"> – g)</t>
    </r>
  </si>
  <si>
    <r>
      <t>NPV</t>
    </r>
    <r>
      <rPr>
        <b/>
        <sz val="8"/>
        <rFont val="Arial"/>
        <family val="2"/>
      </rPr>
      <t>equity</t>
    </r>
    <r>
      <rPr>
        <b/>
        <sz val="10"/>
        <rFont val="Arial"/>
        <family val="2"/>
      </rPr>
      <t xml:space="preserve">= </t>
    </r>
    <r>
      <rPr>
        <b/>
        <sz val="14"/>
        <rFont val="Arial"/>
        <family val="2"/>
      </rPr>
      <t>Σ</t>
    </r>
    <r>
      <rPr>
        <b/>
        <vertAlign val="superscript"/>
        <sz val="14"/>
        <rFont val="Arial"/>
        <family val="2"/>
      </rPr>
      <t>n</t>
    </r>
    <r>
      <rPr>
        <b/>
        <vertAlign val="subscript"/>
        <sz val="10"/>
        <rFont val="Arial"/>
        <family val="2"/>
      </rPr>
      <t xml:space="preserve">t=1 </t>
    </r>
    <r>
      <rPr>
        <b/>
        <sz val="12"/>
        <rFont val="Arial"/>
        <family val="2"/>
      </rPr>
      <t>FCFE</t>
    </r>
    <r>
      <rPr>
        <b/>
        <vertAlign val="subscript"/>
        <sz val="12"/>
        <rFont val="Arial"/>
        <family val="2"/>
      </rPr>
      <t>t</t>
    </r>
    <r>
      <rPr>
        <b/>
        <sz val="12"/>
        <rFont val="Arial"/>
        <family val="2"/>
      </rPr>
      <t xml:space="preserve"> / (1+ R</t>
    </r>
    <r>
      <rPr>
        <b/>
        <vertAlign val="subscript"/>
        <sz val="12"/>
        <rFont val="Arial"/>
        <family val="2"/>
      </rPr>
      <t>e</t>
    </r>
    <r>
      <rPr>
        <b/>
        <sz val="12"/>
        <rFont val="Arial"/>
        <family val="2"/>
      </rPr>
      <t>)</t>
    </r>
    <r>
      <rPr>
        <b/>
        <vertAlign val="superscript"/>
        <sz val="12"/>
        <rFont val="Arial"/>
        <family val="2"/>
      </rPr>
      <t xml:space="preserve">t </t>
    </r>
    <r>
      <rPr>
        <b/>
        <sz val="12"/>
        <rFont val="Arial"/>
        <family val="2"/>
      </rPr>
      <t xml:space="preserve"> + </t>
    </r>
    <r>
      <rPr>
        <b/>
        <u/>
        <sz val="12"/>
        <rFont val="Arial"/>
        <family val="2"/>
      </rPr>
      <t>[ FCFE</t>
    </r>
    <r>
      <rPr>
        <b/>
        <u/>
        <vertAlign val="subscript"/>
        <sz val="12"/>
        <rFont val="Arial"/>
        <family val="2"/>
      </rPr>
      <t>n+1</t>
    </r>
    <r>
      <rPr>
        <b/>
        <u/>
        <sz val="12"/>
        <rFont val="Arial"/>
        <family val="2"/>
      </rPr>
      <t xml:space="preserve"> / (R</t>
    </r>
    <r>
      <rPr>
        <b/>
        <u/>
        <vertAlign val="subscript"/>
        <sz val="12"/>
        <rFont val="Arial"/>
        <family val="2"/>
      </rPr>
      <t>e</t>
    </r>
    <r>
      <rPr>
        <b/>
        <u/>
        <sz val="12"/>
        <rFont val="Arial"/>
        <family val="2"/>
      </rPr>
      <t xml:space="preserve"> – g) ]</t>
    </r>
  </si>
  <si>
    <r>
      <t>C</t>
    </r>
    <r>
      <rPr>
        <b/>
        <i/>
        <vertAlign val="subscript"/>
        <sz val="10"/>
        <rFont val="Arial"/>
        <family val="2"/>
      </rPr>
      <t>0</t>
    </r>
    <r>
      <rPr>
        <b/>
        <i/>
        <sz val="10"/>
        <rFont val="Arial"/>
        <family val="2"/>
      </rPr>
      <t>= initial investment</t>
    </r>
  </si>
  <si>
    <r>
      <t>FCFO</t>
    </r>
    <r>
      <rPr>
        <b/>
        <i/>
        <vertAlign val="subscript"/>
        <sz val="10"/>
        <rFont val="Arial"/>
        <family val="2"/>
      </rPr>
      <t>n+1</t>
    </r>
    <r>
      <rPr>
        <b/>
        <i/>
        <sz val="10"/>
        <rFont val="Arial"/>
        <family val="2"/>
      </rPr>
      <t>= FCFO</t>
    </r>
    <r>
      <rPr>
        <b/>
        <i/>
        <vertAlign val="subscript"/>
        <sz val="10"/>
        <rFont val="Arial"/>
        <family val="2"/>
      </rPr>
      <t xml:space="preserve">n </t>
    </r>
    <r>
      <rPr>
        <b/>
        <i/>
        <sz val="10"/>
        <rFont val="Arial"/>
        <family val="2"/>
      </rPr>
      <t>* (1 + g)</t>
    </r>
  </si>
  <si>
    <r>
      <t xml:space="preserve">Terminal Value = </t>
    </r>
    <r>
      <rPr>
        <b/>
        <i/>
        <u/>
        <sz val="10"/>
        <rFont val="Arial"/>
        <family val="2"/>
      </rPr>
      <t>FCFO</t>
    </r>
    <r>
      <rPr>
        <b/>
        <i/>
        <u/>
        <vertAlign val="subscript"/>
        <sz val="10"/>
        <rFont val="Arial"/>
        <family val="2"/>
      </rPr>
      <t>n+1</t>
    </r>
    <r>
      <rPr>
        <b/>
        <i/>
        <vertAlign val="subscript"/>
        <sz val="10"/>
        <rFont val="Arial"/>
        <family val="2"/>
      </rPr>
      <t xml:space="preserve">     </t>
    </r>
  </si>
  <si>
    <r>
      <t xml:space="preserve">                                    </t>
    </r>
    <r>
      <rPr>
        <b/>
        <i/>
        <sz val="10"/>
        <rFont val="Arial"/>
        <family val="2"/>
      </rPr>
      <t>(WACC – g)</t>
    </r>
  </si>
  <si>
    <r>
      <t xml:space="preserve">                                                                                    (1+ WACC)</t>
    </r>
    <r>
      <rPr>
        <b/>
        <vertAlign val="superscript"/>
        <sz val="12"/>
        <rFont val="Arial"/>
        <family val="2"/>
      </rPr>
      <t>n</t>
    </r>
  </si>
  <si>
    <t xml:space="preserve"> + ------------------- + --------------- + -------------- + ------------ = </t>
  </si>
  <si>
    <r>
      <t>NPV</t>
    </r>
    <r>
      <rPr>
        <b/>
        <vertAlign val="subscript"/>
        <sz val="12"/>
        <rFont val="Arial"/>
        <family val="2"/>
      </rPr>
      <t>project</t>
    </r>
    <r>
      <rPr>
        <b/>
        <sz val="12"/>
        <rFont val="Arial"/>
        <family val="2"/>
      </rPr>
      <t>= - C</t>
    </r>
    <r>
      <rPr>
        <b/>
        <vertAlign val="subscript"/>
        <sz val="12"/>
        <rFont val="Arial"/>
        <family val="2"/>
      </rPr>
      <t>0</t>
    </r>
    <r>
      <rPr>
        <b/>
        <sz val="12"/>
        <rFont val="Arial"/>
        <family val="2"/>
      </rPr>
      <t xml:space="preserve"> +</t>
    </r>
    <r>
      <rPr>
        <b/>
        <sz val="14"/>
        <rFont val="Arial"/>
        <family val="2"/>
      </rPr>
      <t xml:space="preserve"> Σ</t>
    </r>
    <r>
      <rPr>
        <b/>
        <vertAlign val="superscript"/>
        <sz val="14"/>
        <rFont val="Arial"/>
        <family val="2"/>
      </rPr>
      <t>n</t>
    </r>
    <r>
      <rPr>
        <b/>
        <vertAlign val="subscript"/>
        <sz val="10"/>
        <rFont val="Arial"/>
        <family val="2"/>
      </rPr>
      <t xml:space="preserve">t=1 </t>
    </r>
    <r>
      <rPr>
        <b/>
        <sz val="12"/>
        <rFont val="Arial"/>
        <family val="2"/>
      </rPr>
      <t>FCFO</t>
    </r>
    <r>
      <rPr>
        <b/>
        <vertAlign val="subscript"/>
        <sz val="12"/>
        <rFont val="Arial"/>
        <family val="2"/>
      </rPr>
      <t>t</t>
    </r>
    <r>
      <rPr>
        <b/>
        <sz val="12"/>
        <rFont val="Arial"/>
        <family val="2"/>
      </rPr>
      <t xml:space="preserve"> / (1+ WACC)</t>
    </r>
    <r>
      <rPr>
        <b/>
        <vertAlign val="superscript"/>
        <sz val="12"/>
        <rFont val="Arial"/>
        <family val="2"/>
      </rPr>
      <t xml:space="preserve">t </t>
    </r>
    <r>
      <rPr>
        <b/>
        <sz val="12"/>
        <rFont val="Arial"/>
        <family val="2"/>
      </rPr>
      <t xml:space="preserve"> + </t>
    </r>
    <r>
      <rPr>
        <b/>
        <u/>
        <sz val="12"/>
        <rFont val="Arial"/>
        <family val="2"/>
      </rPr>
      <t>[ FCFO</t>
    </r>
    <r>
      <rPr>
        <b/>
        <u/>
        <vertAlign val="subscript"/>
        <sz val="12"/>
        <rFont val="Arial"/>
        <family val="2"/>
      </rPr>
      <t>n+1</t>
    </r>
    <r>
      <rPr>
        <b/>
        <u/>
        <sz val="12"/>
        <rFont val="Arial"/>
        <family val="2"/>
      </rPr>
      <t xml:space="preserve"> / (WACC – g) ] </t>
    </r>
  </si>
  <si>
    <t>Profit (loss) of the last financial year before</t>
  </si>
  <si>
    <t>NPVproject=</t>
  </si>
  <si>
    <t>IRR=</t>
  </si>
  <si>
    <r>
      <t xml:space="preserve">year X </t>
    </r>
    <r>
      <rPr>
        <sz val="10"/>
        <rFont val="Calibri"/>
        <family val="2"/>
      </rPr>
      <t>→</t>
    </r>
  </si>
  <si>
    <r>
      <t xml:space="preserve">year X+1 </t>
    </r>
    <r>
      <rPr>
        <sz val="10"/>
        <rFont val="Calibri"/>
        <family val="2"/>
      </rPr>
      <t>→</t>
    </r>
  </si>
  <si>
    <r>
      <t xml:space="preserve">year X+2 </t>
    </r>
    <r>
      <rPr>
        <sz val="10"/>
        <rFont val="Calibri"/>
        <family val="2"/>
      </rPr>
      <t>→</t>
    </r>
  </si>
  <si>
    <t xml:space="preserve">ACCRUALS </t>
  </si>
  <si>
    <t>The project IRR takes as its inflows the full amount(s) of money that are needed in the project. The outflows are the operating cash flow generated by the project.</t>
  </si>
  <si>
    <t>There are two key questions that define how you will write the plan. Before beginning to write anything, identify exactly who the audience is and what you want</t>
  </si>
  <si>
    <t xml:space="preserve">their response to be. </t>
  </si>
  <si>
    <r>
      <t>·</t>
    </r>
    <r>
      <rPr>
        <sz val="7"/>
        <rFont val="Times New Roman"/>
        <family val="1"/>
      </rPr>
      <t xml:space="preserve">         </t>
    </r>
    <r>
      <rPr>
        <i/>
        <sz val="12"/>
        <rFont val="Calibri"/>
        <family val="2"/>
      </rPr>
      <t xml:space="preserve">The resources or capital being requested </t>
    </r>
    <r>
      <rPr>
        <sz val="12"/>
        <rFont val="Calibri"/>
      </rPr>
      <t>– a clear statement to your readers about what you hope to gain from them, whether it is capital or</t>
    </r>
  </si>
  <si>
    <r>
      <t>·</t>
    </r>
    <r>
      <rPr>
        <sz val="7"/>
        <rFont val="Times New Roman"/>
        <family val="1"/>
      </rPr>
      <t xml:space="preserve">         </t>
    </r>
    <r>
      <rPr>
        <i/>
        <sz val="12"/>
        <rFont val="Calibri"/>
        <family val="2"/>
      </rPr>
      <t>resources.</t>
    </r>
  </si>
  <si>
    <t xml:space="preserve">The purpose of the executive summary is to give the reader a quick understanding of the proposal, but it can also serve to capture the reader’s interest in the </t>
  </si>
  <si>
    <t>business.</t>
  </si>
  <si>
    <r>
      <t xml:space="preserve">One component that can capture a visionary sense of the business is the mission statement. </t>
    </r>
    <r>
      <rPr>
        <i/>
        <u/>
        <sz val="12"/>
        <rFont val="Calibri"/>
        <family val="2"/>
      </rPr>
      <t>It should express the opportunity, the business-social philosophy</t>
    </r>
    <r>
      <rPr>
        <sz val="12"/>
        <rFont val="Calibri"/>
      </rPr>
      <t xml:space="preserve"> </t>
    </r>
  </si>
  <si>
    <t>in one brief sentence.</t>
  </si>
  <si>
    <t xml:space="preserve">The business description gives you the chance to introduce your business in terms of its qualities, of positive business environment existing and, very important </t>
  </si>
  <si>
    <t>for social ventures, of social aspects linked to it.</t>
  </si>
  <si>
    <t xml:space="preserve">Here you can give pertinent background information that makes it clear way why your concept is interesting and you can express your commitment and capacity </t>
  </si>
  <si>
    <t xml:space="preserve">for making it successful. </t>
  </si>
  <si>
    <r>
      <t>·</t>
    </r>
    <r>
      <rPr>
        <sz val="7"/>
        <rFont val="Times New Roman"/>
        <family val="1"/>
      </rPr>
      <t xml:space="preserve">         </t>
    </r>
    <r>
      <rPr>
        <sz val="12"/>
        <rFont val="Calibri"/>
      </rPr>
      <t>Are there restrictive federal or international regulations, large capital requirements or sophisticated technical knowledge associated with providing</t>
    </r>
  </si>
  <si>
    <r>
      <t>·</t>
    </r>
    <r>
      <rPr>
        <sz val="7"/>
        <rFont val="Times New Roman"/>
        <family val="1"/>
      </rPr>
      <t xml:space="preserve">         </t>
    </r>
    <r>
      <rPr>
        <sz val="12"/>
        <rFont val="Calibri"/>
      </rPr>
      <t>the products or services?</t>
    </r>
  </si>
  <si>
    <t xml:space="preserve">Who are your target customers? What characteristics describe them? – Consider different points of view, such as geographic location, demographic features </t>
  </si>
  <si>
    <t>and behavioral factors.</t>
  </si>
  <si>
    <t xml:space="preserve">Why will customers in your target market purchase your product or service? What are your solutions to customer problems? What are the benefits of your </t>
  </si>
  <si>
    <t>offering for them and the society?</t>
  </si>
  <si>
    <t xml:space="preserve">After to have analyzed the business environment, to have studied the competitors and discovered the opportunity, to know your target market, to have a </t>
  </si>
  <si>
    <t>product or service to sell, now you have to think how you will bring your product and your market together.</t>
  </si>
  <si>
    <r>
      <t>·</t>
    </r>
    <r>
      <rPr>
        <sz val="7"/>
        <rFont val="Times New Roman"/>
        <family val="1"/>
      </rPr>
      <t xml:space="preserve">         </t>
    </r>
    <r>
      <rPr>
        <sz val="12"/>
        <rFont val="Calibri"/>
      </rPr>
      <t xml:space="preserve">Review your marketing objectives – At what level of sales will you reach the breakeven point? (The point at which your sales cover your costs); </t>
    </r>
  </si>
  <si>
    <t>when do you reach that point?  How long will it take to reach the next sales milestone? Do you achieve an established growth rate?</t>
  </si>
  <si>
    <r>
      <t>·</t>
    </r>
    <r>
      <rPr>
        <sz val="7"/>
        <rFont val="Times New Roman"/>
        <family val="1"/>
      </rPr>
      <t xml:space="preserve">         </t>
    </r>
    <r>
      <rPr>
        <sz val="12"/>
        <rFont val="Calibri"/>
      </rPr>
      <t>Price: at what price you will offer your product or service. Will there be an established place, or will it be tiered on variable depending</t>
    </r>
  </si>
  <si>
    <r>
      <t>·</t>
    </r>
    <r>
      <rPr>
        <sz val="7"/>
        <rFont val="Times New Roman"/>
        <family val="1"/>
      </rPr>
      <t xml:space="preserve">         </t>
    </r>
    <r>
      <rPr>
        <sz val="12"/>
        <rFont val="Calibri"/>
      </rPr>
      <t>on consumer demand?</t>
    </r>
  </si>
  <si>
    <r>
      <t>·</t>
    </r>
    <r>
      <rPr>
        <sz val="7"/>
        <rFont val="Times New Roman"/>
        <family val="1"/>
      </rPr>
      <t xml:space="preserve">         </t>
    </r>
    <r>
      <rPr>
        <sz val="12"/>
        <rFont val="Calibri"/>
      </rPr>
      <t>Are they realistic about the business’s chances for success? Are they capable of recognizing risks and responding to the problems that will</t>
    </r>
  </si>
  <si>
    <r>
      <t>·</t>
    </r>
    <r>
      <rPr>
        <sz val="7"/>
        <rFont val="Times New Roman"/>
        <family val="1"/>
      </rPr>
      <t xml:space="preserve">         </t>
    </r>
    <r>
      <rPr>
        <sz val="12"/>
        <rFont val="Calibri"/>
      </rPr>
      <t>inevitably occur?</t>
    </r>
  </si>
  <si>
    <t xml:space="preserve">  (a newly formed collection of people that hasn’t been tested as a team is generally considered a riskier proposition than a team that has worked</t>
  </si>
  <si>
    <t xml:space="preserve"> together in the past).</t>
  </si>
  <si>
    <t>There is real risk in any venture. Your readers will want to know your assessment of the level of risk. They want to know how you plan to avoid the risk of failure</t>
  </si>
  <si>
    <t xml:space="preserve"> and how you plan   to increase the chances for success. Depending on the fundamental riskiness of the venture, the investor will require different rates of return </t>
  </si>
  <si>
    <t>to balance the possibility of loss.</t>
  </si>
  <si>
    <t xml:space="preserve">The complete set of financial information – assumptions, income statement, cash flow statement, balance sheets, statement of sources and uses – should </t>
  </si>
  <si>
    <t>be included in the appendices.</t>
  </si>
  <si>
    <t xml:space="preserve"> The executive summary is a formal statement presenting the NGO / Company fact.</t>
  </si>
  <si>
    <t>The plan should reflect the mission and basic business philosophy of your NGO / Company.</t>
  </si>
  <si>
    <t>It should show how the NGO / Company creates value for all its stakeholders. For example:</t>
  </si>
  <si>
    <t xml:space="preserve">This section is where you show your readers the current status and future projections of the NGO / Company’s financial performance. </t>
  </si>
  <si>
    <t>from the pro forma income statements over a period of three to five years. State when you expect the NGO / Company to become profitable.</t>
  </si>
  <si>
    <t>The higher the ROI, the more efficient the NGO / Company is using its capital to produce a profit.</t>
  </si>
  <si>
    <t xml:space="preserve">annual stock debt amount </t>
  </si>
  <si>
    <t>Proceeds from Donations 
On Total Revenues</t>
  </si>
  <si>
    <t>Proceeds from Donations 
On Total Projects Outlay</t>
  </si>
  <si>
    <t xml:space="preserve">Total Projects Outlay / 
(Total operating revenues  + Total Projects Proceeds) </t>
  </si>
  <si>
    <t xml:space="preserve"> Total Projects  Proceeds /  
(Total operating revenues + Total Project Proceeds) </t>
  </si>
  <si>
    <t>If during the year X+2  there will be an increase in quantity sold</t>
  </si>
  <si>
    <t>TOTAL PROCEEDS FOR PROJECTS</t>
  </si>
  <si>
    <t xml:space="preserve">For Projects from: </t>
  </si>
  <si>
    <t xml:space="preserve"> -Private Individuals</t>
  </si>
  <si>
    <t xml:space="preserve"> -Governamental Agencies</t>
  </si>
  <si>
    <t xml:space="preserve"> -International Organizations</t>
  </si>
  <si>
    <t>Cash flow &amp; Operating Leverage</t>
  </si>
  <si>
    <t>If we consider that EBIT is:</t>
  </si>
  <si>
    <t>EBIT=</t>
  </si>
  <si>
    <t>Operating Costs which are not outlays (as Accruals, Depreciations, Admortisations)=</t>
  </si>
  <si>
    <t>CASH FLOW period X+2</t>
  </si>
  <si>
    <t>Leasing Capital Stock</t>
  </si>
  <si>
    <t>Accruals for Provisions</t>
  </si>
  <si>
    <t>EBITDA=</t>
  </si>
  <si>
    <t>EBIT + Operating Costs which are not outlays (as Accruals, Depreciations, Admortisations)=</t>
  </si>
  <si>
    <t xml:space="preserve">NOTE: </t>
  </si>
  <si>
    <t>%</t>
  </si>
  <si>
    <t xml:space="preserve"> allows a ∆ EBIT of </t>
  </si>
  <si>
    <t xml:space="preserve"> allows a ∆ EBIT of  </t>
  </si>
  <si>
    <t>A rigid structure is more profitable than a flexible structure, but it carries an increased operating risk.</t>
  </si>
  <si>
    <t>Gross Margin</t>
  </si>
  <si>
    <t>Gross Profit/ Sales</t>
  </si>
  <si>
    <t>Operating result/Sales</t>
  </si>
  <si>
    <t>Net Margin</t>
  </si>
  <si>
    <t>Measures the rate at which Inventory is being used on an annual basis.</t>
  </si>
  <si>
    <t>Converts the Inventory Turnover ratio into an average "days inventory on hand" figure.</t>
  </si>
  <si>
    <t>Measures the rate at which Accounts Receivable are being collected on an annual basis.</t>
  </si>
  <si>
    <t>Measures the rate at which Accounts Payable are being paid on an annual basis.</t>
  </si>
  <si>
    <t>Net Profit / Sales</t>
  </si>
  <si>
    <t>Net Profit / Net Worth</t>
  </si>
  <si>
    <t>Net Profit / total assets</t>
  </si>
  <si>
    <r>
      <t>To attrac the investors, The ROI has to be more hight than the rate of a free risk investment</t>
    </r>
    <r>
      <rPr>
        <sz val="12"/>
        <rFont val="Calibri"/>
      </rPr>
      <t>.</t>
    </r>
  </si>
  <si>
    <t>OUTLAY FOR PROJECTS</t>
  </si>
  <si>
    <t>PROJECT 1</t>
  </si>
  <si>
    <t>PROJECT 2</t>
  </si>
  <si>
    <t>PROJECT 3</t>
  </si>
  <si>
    <t>Social utility</t>
  </si>
  <si>
    <t>Allocations to total projects</t>
  </si>
  <si>
    <t>Measures the percentage of Total Revenues used to finance all Projects</t>
  </si>
  <si>
    <t>Allocations to project 1</t>
  </si>
  <si>
    <t>Allocations to project 2</t>
  </si>
  <si>
    <t>Allocations to project 3</t>
  </si>
  <si>
    <t>Measures the percentage of Total Revenues used to finance Project 1</t>
  </si>
  <si>
    <t>Measures the percentage of Total Revenues used to finance Project 2</t>
  </si>
  <si>
    <t>Measures the percentage of Total Revenues used to finance Project 3</t>
  </si>
  <si>
    <t>Measure the percentage of Donations on every 1$ of revenues</t>
  </si>
  <si>
    <t>Measure the percentage of Donations on every 1$ invested in Projects</t>
  </si>
  <si>
    <t>Others:</t>
  </si>
  <si>
    <t xml:space="preserve">The Breakeven Point identifie the point where the total revenue is just sufficient to cover the total cost. </t>
  </si>
  <si>
    <t xml:space="preserve">The formula for break even point is: </t>
  </si>
  <si>
    <r>
      <t>If we suppose a  ∆  Quantity Sold of</t>
    </r>
    <r>
      <rPr>
        <sz val="10"/>
        <rFont val="Arial"/>
      </rPr>
      <t>.</t>
    </r>
  </si>
  <si>
    <t xml:space="preserve"> ∆  Quantity Sold= </t>
  </si>
  <si>
    <r>
      <t xml:space="preserve">∆ </t>
    </r>
    <r>
      <rPr>
        <sz val="10"/>
        <rFont val="Arial"/>
      </rPr>
      <t>EBIT =</t>
    </r>
    <r>
      <rPr>
        <sz val="12"/>
        <rFont val="Arial"/>
        <family val="2"/>
      </rPr>
      <t xml:space="preserve"> ∆ </t>
    </r>
    <r>
      <rPr>
        <sz val="10"/>
        <rFont val="Arial"/>
      </rPr>
      <t xml:space="preserve"> Quantity Sold X Operating Leverage </t>
    </r>
    <r>
      <rPr>
        <sz val="10"/>
        <rFont val="Calibri"/>
        <family val="2"/>
      </rPr>
      <t>→</t>
    </r>
  </si>
  <si>
    <t>If we suppose a  ∆  Quantity Sold of</t>
  </si>
  <si>
    <r>
      <t xml:space="preserve">∆ </t>
    </r>
    <r>
      <rPr>
        <b/>
        <i/>
        <sz val="10"/>
        <rFont val="Arial"/>
        <family val="2"/>
      </rPr>
      <t>EBIT =</t>
    </r>
    <r>
      <rPr>
        <b/>
        <i/>
        <sz val="12"/>
        <rFont val="Arial"/>
        <family val="2"/>
      </rPr>
      <t xml:space="preserve"> ∆ </t>
    </r>
    <r>
      <rPr>
        <b/>
        <i/>
        <sz val="10"/>
        <rFont val="Arial"/>
        <family val="2"/>
      </rPr>
      <t xml:space="preserve"> Quantity Sold X Degree of Operating Leverage </t>
    </r>
  </si>
  <si>
    <t>Breakeven Quantity</t>
  </si>
  <si>
    <t>Contribution Margin per Unit=</t>
  </si>
  <si>
    <t>Breakeven Point</t>
  </si>
  <si>
    <r>
      <rPr>
        <sz val="12"/>
        <rFont val="Arial"/>
        <family val="2"/>
      </rPr>
      <t>Q</t>
    </r>
    <r>
      <rPr>
        <sz val="8"/>
        <rFont val="Arial"/>
        <family val="2"/>
      </rPr>
      <t xml:space="preserve">BP </t>
    </r>
    <r>
      <rPr>
        <sz val="10"/>
        <rFont val="Arial"/>
      </rPr>
      <t>= fixed costs / Contribution Margin per Unit</t>
    </r>
  </si>
  <si>
    <t>Product price=</t>
  </si>
  <si>
    <t>Capital Donated on Net Worth</t>
  </si>
  <si>
    <t>Donations / Neth Worth</t>
  </si>
  <si>
    <t>Measure the percentage of Donations in Owner's equity</t>
  </si>
  <si>
    <t xml:space="preserve">If a company has no fixed costs, it's DOL equals 1: a 10% in Sales yields increases a 10% in Operating Income and its Operating Income equals its  contribution margin. </t>
  </si>
  <si>
    <t>More significant is the volume of sales, more the investment in fixed costs becomes  beneficial.</t>
  </si>
  <si>
    <t>For a given level of sales and profit, the DOL is higher if the fixed costs are higher too:</t>
  </si>
  <si>
    <t xml:space="preserve">DOL is related to the rate of growth in the Operating Income: </t>
  </si>
  <si>
    <t xml:space="preserve">The presence of high variable costs, which grow with the increase in sales, reduces EBIT and consequently the Operating Cash Flows. </t>
  </si>
  <si>
    <t>A flexible structure of costs is less profitable but it's best suited to unforeseen events.</t>
  </si>
  <si>
    <t>The fixed costs are not linked to changes in sales volume and revenue growth:</t>
  </si>
  <si>
    <r>
      <t>after reaching the breakeven point, a fixed structure of costs produces more Cash Flow from core business operations than a variable strucrture</t>
    </r>
    <r>
      <rPr>
        <sz val="10"/>
        <rFont val="Arial"/>
      </rPr>
      <t>.</t>
    </r>
  </si>
  <si>
    <r>
      <t>the increase in sales revenues translates interely on Operating Income once covered the fixed costs</t>
    </r>
    <r>
      <rPr>
        <sz val="10"/>
        <rFont val="Arial"/>
      </rPr>
      <t>.</t>
    </r>
  </si>
  <si>
    <t>As you can see in the Cash Flow sheet,</t>
  </si>
  <si>
    <t>After these considerations, we can analyse the effects of a  ∆  Quantity Sold on the Cash Flow of this venture.</t>
  </si>
  <si>
    <r>
      <t xml:space="preserve">if we consider the structure of costs of </t>
    </r>
    <r>
      <rPr>
        <u/>
        <sz val="10"/>
        <rFont val="Arial"/>
        <family val="2"/>
      </rPr>
      <t>this venture</t>
    </r>
    <r>
      <rPr>
        <sz val="10"/>
        <rFont val="Arial"/>
      </rPr>
      <t>:</t>
    </r>
  </si>
  <si>
    <r>
      <t>If we consider the structure of costs of</t>
    </r>
    <r>
      <rPr>
        <i/>
        <u/>
        <sz val="10"/>
        <rFont val="Arial"/>
        <family val="2"/>
      </rPr>
      <t xml:space="preserve"> this company</t>
    </r>
    <r>
      <rPr>
        <sz val="10"/>
        <rFont val="Arial"/>
      </rPr>
      <t>:</t>
    </r>
  </si>
  <si>
    <r>
      <rPr>
        <i/>
        <sz val="10"/>
        <rFont val="Calibri"/>
        <family val="2"/>
      </rPr>
      <t>←</t>
    </r>
    <r>
      <rPr>
        <i/>
        <sz val="10"/>
        <rFont val="Arial"/>
        <family val="2"/>
      </rPr>
      <t xml:space="preserve"> our variable hypothesis</t>
    </r>
  </si>
  <si>
    <r>
      <t>variable costs on total costs</t>
    </r>
    <r>
      <rPr>
        <sz val="10"/>
        <rFont val="Calibri"/>
        <family val="2"/>
      </rPr>
      <t>→</t>
    </r>
  </si>
  <si>
    <r>
      <t xml:space="preserve">We analyse the effects of a  ∆  Quantity Sold on the Cash Flow of this venture </t>
    </r>
    <r>
      <rPr>
        <i/>
        <u/>
        <sz val="10"/>
        <rFont val="Arial"/>
        <family val="2"/>
      </rPr>
      <t>getting back the hypothesis done in "Effect of Operating Leverage</t>
    </r>
    <r>
      <rPr>
        <i/>
        <sz val="10"/>
        <rFont val="Arial"/>
        <family val="2"/>
      </rPr>
      <t>"</t>
    </r>
    <r>
      <rPr>
        <sz val="10"/>
        <rFont val="Arial"/>
      </rPr>
      <t>.</t>
    </r>
  </si>
  <si>
    <t>Net Present Value</t>
  </si>
  <si>
    <t>Calculating NPV is a method for evaluating projects or investments.</t>
  </si>
  <si>
    <t>It is an application of a fundamental concept in economics and finance called the Time Value of Money. A dollar received in the future is less valuable than a dollar received today.</t>
  </si>
  <si>
    <t>Formula:</t>
  </si>
  <si>
    <t>where:</t>
  </si>
  <si>
    <t>t:</t>
  </si>
  <si>
    <r>
      <t xml:space="preserve">it's elapesd time of the project ( </t>
    </r>
    <r>
      <rPr>
        <i/>
        <sz val="10"/>
        <rFont val="Arial"/>
        <family val="2"/>
      </rPr>
      <t xml:space="preserve">t=0 </t>
    </r>
    <r>
      <rPr>
        <sz val="10"/>
        <rFont val="Arial"/>
      </rPr>
      <t>is the begin of the project)</t>
    </r>
  </si>
  <si>
    <r>
      <rPr>
        <i/>
        <sz val="12"/>
        <rFont val="Arial"/>
        <family val="2"/>
      </rPr>
      <t>C</t>
    </r>
    <r>
      <rPr>
        <i/>
        <sz val="8"/>
        <rFont val="Arial"/>
        <family val="2"/>
      </rPr>
      <t>0</t>
    </r>
    <r>
      <rPr>
        <i/>
        <sz val="10"/>
        <rFont val="Arial"/>
        <family val="2"/>
      </rPr>
      <t>:</t>
    </r>
  </si>
  <si>
    <t>it's the invested acapital at the begin of the project</t>
  </si>
  <si>
    <r>
      <t>C</t>
    </r>
    <r>
      <rPr>
        <i/>
        <sz val="8"/>
        <rFont val="Arial"/>
        <family val="2"/>
      </rPr>
      <t>t</t>
    </r>
    <r>
      <rPr>
        <i/>
        <sz val="12"/>
        <rFont val="Arial"/>
        <family val="2"/>
      </rPr>
      <t>:</t>
    </r>
  </si>
  <si>
    <r>
      <t>it's the Cash Flow at "</t>
    </r>
    <r>
      <rPr>
        <i/>
        <sz val="10"/>
        <rFont val="Arial"/>
        <family val="2"/>
      </rPr>
      <t xml:space="preserve">t" </t>
    </r>
    <r>
      <rPr>
        <sz val="10"/>
        <rFont val="Arial"/>
      </rPr>
      <t xml:space="preserve">time </t>
    </r>
  </si>
  <si>
    <t>r:</t>
  </si>
  <si>
    <t>it's the discount rate</t>
  </si>
  <si>
    <r>
      <t>The discount rate will be the "</t>
    </r>
    <r>
      <rPr>
        <i/>
        <sz val="10"/>
        <rFont val="Arial"/>
        <family val="2"/>
      </rPr>
      <t>wacc".</t>
    </r>
  </si>
  <si>
    <t>wacc =</t>
  </si>
  <si>
    <r>
      <t>R</t>
    </r>
    <r>
      <rPr>
        <i/>
        <sz val="8"/>
        <rFont val="Arial"/>
        <family val="2"/>
      </rPr>
      <t>e</t>
    </r>
    <r>
      <rPr>
        <i/>
        <sz val="12"/>
        <rFont val="Arial"/>
        <family val="2"/>
      </rPr>
      <t xml:space="preserve">= </t>
    </r>
    <r>
      <rPr>
        <i/>
        <sz val="10"/>
        <rFont val="Arial"/>
        <family val="2"/>
      </rPr>
      <t>Equity Discount rate</t>
    </r>
    <r>
      <rPr>
        <i/>
        <sz val="12"/>
        <rFont val="Arial"/>
        <family val="2"/>
      </rPr>
      <t>=</t>
    </r>
  </si>
  <si>
    <t xml:space="preserve">The IRR of a project or investment is the discount rate that results in an NPV of zero. </t>
  </si>
  <si>
    <r>
      <t>IRR</t>
    </r>
    <r>
      <rPr>
        <b/>
        <i/>
        <sz val="12"/>
        <rFont val="Arial"/>
        <family val="2"/>
      </rPr>
      <t>project</t>
    </r>
  </si>
  <si>
    <t>The calculation assumes that no debt is used for the project.</t>
  </si>
  <si>
    <t>Internal Rate of Return</t>
  </si>
  <si>
    <t>In DPP, you discount each of the future cash flows and then count the number of years necessary to recoup your investment.</t>
  </si>
  <si>
    <t xml:space="preserve">a DOL of </t>
  </si>
  <si>
    <t>a DOL of</t>
  </si>
  <si>
    <r>
      <t xml:space="preserve">_ </t>
    </r>
    <r>
      <rPr>
        <i/>
        <sz val="12"/>
        <rFont val="Calibri"/>
        <family val="2"/>
      </rPr>
      <t>How to write a business plan</t>
    </r>
    <r>
      <rPr>
        <sz val="12"/>
        <rFont val="Calibri"/>
      </rPr>
      <t>, Brian Finch, The Sunday Times, 2011.</t>
    </r>
  </si>
  <si>
    <t>EBIT = EBITDA - Operating Costs which are not outlays (as Accruals, Depreciations, Amortisations)</t>
  </si>
  <si>
    <t>Additionally, the Operating Leverage has high incidence in presence of high fixed costs compared to a structure with low variable costs:</t>
  </si>
  <si>
    <t>EBITDA is the financial result from which we start to calculate other important financial results as Operating Cash Flow (or Unlevered Cash Flow) and Net Cash Flow (or Leverage Cash Flow).</t>
  </si>
  <si>
    <t>31/12/X+2</t>
  </si>
  <si>
    <t>31/12/X+3</t>
  </si>
  <si>
    <t>CASH FLOW</t>
  </si>
  <si>
    <t>RAW MATERIALS</t>
  </si>
  <si>
    <t>OTHER COSTS:</t>
  </si>
  <si>
    <t>CONTRIBUTION MARGIN</t>
  </si>
  <si>
    <t>OTHER NOT OPERATING EXPENSES</t>
  </si>
  <si>
    <t>31/12/X-1</t>
  </si>
  <si>
    <t>Woman employed</t>
  </si>
  <si>
    <t xml:space="preserve">Number of native people empolyed / total numeber of employees </t>
  </si>
  <si>
    <t xml:space="preserve">Number of women empolyed / total numeber of employees </t>
  </si>
  <si>
    <r>
      <rPr>
        <b/>
        <i/>
        <sz val="12"/>
        <rFont val="Calibri"/>
        <family val="2"/>
      </rPr>
      <t>It’s obvious that for NGO and social entreprises, the focus on social aspects is very relevant</t>
    </r>
    <r>
      <rPr>
        <sz val="12"/>
        <rFont val="Calibri"/>
      </rPr>
      <t>.</t>
    </r>
  </si>
  <si>
    <r>
      <rPr>
        <u/>
        <sz val="12"/>
        <rFont val="Calibri"/>
        <family val="2"/>
      </rPr>
      <t>The order will depend upon how it projects the story best. You may merge some sections or you may have extra sections that are not mentioned above</t>
    </r>
    <r>
      <rPr>
        <sz val="12"/>
        <rFont val="Calibri"/>
      </rPr>
      <t xml:space="preserve">. </t>
    </r>
  </si>
  <si>
    <t>Efficiency of Total Assets in generating sales</t>
  </si>
  <si>
    <t>Sales produced for every unit invested in Total Assets.</t>
  </si>
  <si>
    <t>Gross Margin produced for every unit of Sales.</t>
  </si>
  <si>
    <t>Net Profit produced for every unit of Sales</t>
  </si>
  <si>
    <t>Profitability at the Operating Result level</t>
  </si>
  <si>
    <t>Efficieny of Net Worth in generating Net Profit</t>
  </si>
  <si>
    <t>Operating Result produced for every unit of Sales.</t>
  </si>
  <si>
    <t>Net Profit produced for every unit invested in Net Worth.</t>
  </si>
  <si>
    <t>Debt owed for every unit in Net Worth.</t>
  </si>
  <si>
    <t>Efficiency of Total Aassets in generating Net Profit</t>
  </si>
  <si>
    <t>Net Profit produced for every unit invested in Total Assets.</t>
  </si>
  <si>
    <t>Days Inventory</t>
  </si>
  <si>
    <t>Accounts Payable Days</t>
  </si>
  <si>
    <t>Accounts Receivable Days</t>
  </si>
  <si>
    <t>Net Financial Position</t>
  </si>
  <si>
    <t>Total sources</t>
  </si>
  <si>
    <t>Netive people workers</t>
  </si>
  <si>
    <t>Native women workers</t>
  </si>
  <si>
    <t>Converts the Accounts Receivable Turnover ratio into the average number of days for cashing in  Accounts Receivable</t>
  </si>
  <si>
    <t>Converts the Accounts Payable Turnover ratio into the average number of days necessary for paying  Accounts Payable.</t>
  </si>
  <si>
    <t>Loan Repayment Schedule</t>
  </si>
  <si>
    <t>DEBT COVENANTS</t>
  </si>
  <si>
    <t>Contract termination/ Debt restructuring agreements</t>
  </si>
  <si>
    <t xml:space="preserve"> We consider a fixed operative cost all operative costs that are not included in the contibution margin (all costs between Contibution Margin and EBITDA)</t>
  </si>
  <si>
    <t>(Net Income + Amortization/Depreciation + Interest Expense + other non-cash and discretionary items) / (Principal Repayment + Interest payments + Lease payments)</t>
  </si>
  <si>
    <t xml:space="preserve">Total Projects Proceeds / Total Projects Outlay </t>
  </si>
  <si>
    <t xml:space="preserve">Outlay for Project 1 / (Total operating revenues  + Total Projects Proceeds) </t>
  </si>
  <si>
    <t xml:space="preserve">Outlay for Project 2 / (Total operating revenues + Total Projects Proceeds ) </t>
  </si>
  <si>
    <t xml:space="preserve">Outlay for Project 3 / (Total operating revenues + Total Projects Proceeds) </t>
  </si>
  <si>
    <t>Cost structure</t>
  </si>
  <si>
    <t>Country Risk</t>
  </si>
  <si>
    <t>ttp://www.oecd-ilibrary.org/economics/oecd-economic-outlook-volume-2012-issue-1/annex-table-18-consumer-price-indices_eco_outlook-v2012-1-table174-en</t>
  </si>
  <si>
    <t>Consumer price indices</t>
  </si>
  <si>
    <t>http://www.euromoneycountryrisk.com/#supertop</t>
  </si>
  <si>
    <t>Inflation OECD Historical trends</t>
  </si>
  <si>
    <t>http://pages.stern.nyu.edu/~adamodar/</t>
  </si>
  <si>
    <t>Betas by sector</t>
  </si>
  <si>
    <t xml:space="preserve"> Data used is as of January 2012</t>
  </si>
  <si>
    <t>Adjusted country risk premium for the country</t>
  </si>
  <si>
    <t>Other Input data</t>
  </si>
  <si>
    <t>Net present value of equity</t>
  </si>
  <si>
    <t>Project NPV</t>
  </si>
  <si>
    <t>discounted Payback period</t>
  </si>
  <si>
    <t>Evaluation Model</t>
  </si>
  <si>
    <t>Exibit</t>
  </si>
  <si>
    <t>WACC CALCULATION</t>
  </si>
  <si>
    <t xml:space="preserve">Debt Covenants </t>
  </si>
  <si>
    <t>Value Added Analysis</t>
  </si>
  <si>
    <t>Loan repayment schedule</t>
  </si>
  <si>
    <t>Operating leverage</t>
  </si>
  <si>
    <t>Cash Flows &amp; Operating Leverage</t>
  </si>
  <si>
    <t>Breakeven point</t>
  </si>
  <si>
    <t xml:space="preserve">Beta </t>
  </si>
  <si>
    <t>Inflation OECD Historical trend</t>
  </si>
  <si>
    <t>MACROTRENDS</t>
  </si>
  <si>
    <t>OPERATING ANALYSIS</t>
  </si>
  <si>
    <t>RATIOS AND COVENANTS</t>
  </si>
  <si>
    <t>DEBT REPAYMENT AND CASH FLOWS</t>
  </si>
  <si>
    <t>INCOME STATEMENT AND BALANCE SHEET</t>
  </si>
  <si>
    <t>INTRODUCTION</t>
  </si>
  <si>
    <t>Equity risk premium</t>
  </si>
  <si>
    <t>Interest Rates</t>
  </si>
  <si>
    <t>COMPANY EVALUATION</t>
  </si>
  <si>
    <t>Other input data</t>
  </si>
  <si>
    <t xml:space="preserve"> Exhibit </t>
  </si>
  <si>
    <t>NPV, IRR, payback</t>
  </si>
  <si>
    <t xml:space="preserve">Rating </t>
  </si>
  <si>
    <t>Cash flow evaluation methods description</t>
  </si>
  <si>
    <t xml:space="preserve"> Cash Flow Valuation Model</t>
  </si>
  <si>
    <t>NewFCFEStableGrowth</t>
  </si>
  <si>
    <t xml:space="preserve"> NewFCFFStableGrowth</t>
  </si>
  <si>
    <t>Item</t>
  </si>
  <si>
    <t>Short</t>
  </si>
  <si>
    <t>Comment</t>
  </si>
  <si>
    <t>Profit bf. Int &amp; tax</t>
  </si>
  <si>
    <t>PBIT</t>
  </si>
  <si>
    <t>(PnL account)</t>
  </si>
  <si>
    <t>Stock</t>
  </si>
  <si>
    <t>S</t>
  </si>
  <si>
    <t>Total capital</t>
  </si>
  <si>
    <t>TC</t>
  </si>
  <si>
    <t>Total assets less current liabilities  (Balance sheet)</t>
  </si>
  <si>
    <t>Debt</t>
  </si>
  <si>
    <t>D</t>
  </si>
  <si>
    <t>Turnover</t>
  </si>
  <si>
    <t>T</t>
  </si>
  <si>
    <t>Shareholders Equity</t>
  </si>
  <si>
    <t>SE</t>
  </si>
  <si>
    <t>Current assets</t>
  </si>
  <si>
    <t>CA</t>
  </si>
  <si>
    <t>(Balance sheet)</t>
  </si>
  <si>
    <t>Interest payable</t>
  </si>
  <si>
    <t>I</t>
  </si>
  <si>
    <t>Current liabilities</t>
  </si>
  <si>
    <t>CL</t>
  </si>
  <si>
    <t>Cost of goods</t>
  </si>
  <si>
    <t>CoG</t>
  </si>
  <si>
    <t>Net Profit</t>
  </si>
  <si>
    <t>P</t>
  </si>
  <si>
    <t>Trade debtors</t>
  </si>
  <si>
    <t>TD</t>
  </si>
  <si>
    <t>Gross profit</t>
  </si>
  <si>
    <t>GP</t>
  </si>
  <si>
    <t>Note 2</t>
  </si>
  <si>
    <t>Trade creditors</t>
  </si>
  <si>
    <t>TRC</t>
  </si>
  <si>
    <t>Operating expences</t>
  </si>
  <si>
    <t>OE</t>
  </si>
  <si>
    <t>Purchases</t>
  </si>
  <si>
    <t>PU</t>
  </si>
  <si>
    <t>Net assets</t>
  </si>
  <si>
    <t>NA</t>
  </si>
  <si>
    <t>Divident</t>
  </si>
  <si>
    <t>Div</t>
  </si>
  <si>
    <t>Fixed assets</t>
  </si>
  <si>
    <t>FA</t>
  </si>
  <si>
    <t>Number of shares</t>
  </si>
  <si>
    <t>SH</t>
  </si>
  <si>
    <t>Working capital</t>
  </si>
  <si>
    <t>WC</t>
  </si>
  <si>
    <t>Net current liabilities (c. assets-c. liabilities) (Balance sheet)</t>
  </si>
  <si>
    <t>Share price</t>
  </si>
  <si>
    <t>SP</t>
  </si>
  <si>
    <t>EBITDA margin</t>
  </si>
  <si>
    <t>Return on capital employment</t>
  </si>
  <si>
    <t>Return on sales</t>
  </si>
  <si>
    <t>Turnover on capital emplayment</t>
  </si>
  <si>
    <t>Gross margin</t>
  </si>
  <si>
    <t>Overheads to sales</t>
  </si>
  <si>
    <t>Net margin</t>
  </si>
  <si>
    <t>F. asset turnover</t>
  </si>
  <si>
    <t>W. Capital turnover</t>
  </si>
  <si>
    <t>Asset turnover</t>
  </si>
  <si>
    <t>Liquidity ratios</t>
  </si>
  <si>
    <t>Stability ratios</t>
  </si>
  <si>
    <t>CA-S</t>
  </si>
  <si>
    <t>Gearing ratio</t>
  </si>
  <si>
    <t>Debt/Equity ratio</t>
  </si>
  <si>
    <t>Interest cover</t>
  </si>
  <si>
    <t>D+CnR</t>
  </si>
  <si>
    <t>Working capital ratios</t>
  </si>
  <si>
    <t>Stock holding period</t>
  </si>
  <si>
    <t>S x365</t>
  </si>
  <si>
    <t>Debtor days</t>
  </si>
  <si>
    <t>TD x365</t>
  </si>
  <si>
    <t>Creditor days</t>
  </si>
  <si>
    <t>TRC x365</t>
  </si>
  <si>
    <t>Investor ratios</t>
  </si>
  <si>
    <t>Dividents per share</t>
  </si>
  <si>
    <t>Divident cover</t>
  </si>
  <si>
    <t>Divident yield</t>
  </si>
  <si>
    <t>Div p share /(1-t)</t>
  </si>
  <si>
    <t>P/E ratio</t>
  </si>
  <si>
    <t>Net assets p. share</t>
  </si>
  <si>
    <t>EPS</t>
  </si>
  <si>
    <t>RATIO TREE</t>
  </si>
  <si>
    <t>For year x+2</t>
  </si>
  <si>
    <t>For year X+1</t>
  </si>
  <si>
    <t>For year X</t>
  </si>
  <si>
    <t>high</t>
  </si>
  <si>
    <t>low</t>
  </si>
  <si>
    <t>USD LIBOR</t>
  </si>
  <si>
    <t>Date</t>
  </si>
  <si>
    <t>Monthly Average</t>
  </si>
  <si>
    <t>Euro/CHF Monthly average</t>
  </si>
  <si>
    <t>Currency rates</t>
  </si>
  <si>
    <t>Inflation datas updated sep.2012</t>
  </si>
  <si>
    <t>Euro/USD Monthly average</t>
  </si>
  <si>
    <t>Euro/YUAN Monthly average</t>
  </si>
  <si>
    <t>Renminbi(Yuan)</t>
  </si>
  <si>
    <t>Crude Oil (petroleum) - Monthly Price</t>
  </si>
  <si>
    <t>Month</t>
  </si>
  <si>
    <t>Price</t>
  </si>
  <si>
    <t>Change</t>
  </si>
  <si>
    <t>-</t>
  </si>
  <si>
    <t>Commodities</t>
  </si>
  <si>
    <t>http://www.indexmundi.com/commodities/?commodity=crude-oil</t>
  </si>
  <si>
    <t>Austria [1]</t>
  </si>
  <si>
    <t>Barbados</t>
  </si>
  <si>
    <t>Belgium [1]</t>
  </si>
  <si>
    <t>Belize</t>
  </si>
  <si>
    <t>Bermuda</t>
  </si>
  <si>
    <t>Bosnia and Herzegovina</t>
  </si>
  <si>
    <t>Cambodia</t>
  </si>
  <si>
    <t>Cayman Islands</t>
  </si>
  <si>
    <t>Cyprus [1]</t>
  </si>
  <si>
    <t>Fiji Islands</t>
  </si>
  <si>
    <t>Finland [1]</t>
  </si>
  <si>
    <t>France [1]</t>
  </si>
  <si>
    <t>Georgia</t>
  </si>
  <si>
    <t>Germany [1]</t>
  </si>
  <si>
    <t>Greece [1]</t>
  </si>
  <si>
    <t>Ireland [1]</t>
  </si>
  <si>
    <t>Isle of Man</t>
  </si>
  <si>
    <t>Italy [1]</t>
  </si>
  <si>
    <t>Luxembourg [1]</t>
  </si>
  <si>
    <t>Macao</t>
  </si>
  <si>
    <t>Malta [1]</t>
  </si>
  <si>
    <t>Mauritius</t>
  </si>
  <si>
    <t>Montenegro</t>
  </si>
  <si>
    <t>Netherlands [1]</t>
  </si>
  <si>
    <t>Portugal [1]</t>
  </si>
  <si>
    <t>Slovenia [1]</t>
  </si>
  <si>
    <t>Spain [1]</t>
  </si>
  <si>
    <t>St. Vincent &amp; the Grenadines</t>
  </si>
  <si>
    <t>Trinidad and Tobago</t>
  </si>
  <si>
    <t>United States of America</t>
  </si>
  <si>
    <t>Eastern Europe &amp; Russia</t>
  </si>
  <si>
    <t>Africa</t>
  </si>
  <si>
    <t>Central and South America</t>
  </si>
  <si>
    <t>Australia &amp; New Zealand</t>
  </si>
  <si>
    <t>Western Europe</t>
  </si>
  <si>
    <t>Caribbean</t>
  </si>
  <si>
    <t>Middle East</t>
  </si>
  <si>
    <t>Asia</t>
  </si>
  <si>
    <t>North America</t>
  </si>
  <si>
    <t>Financial Center</t>
  </si>
  <si>
    <t>NET ADJUSTMENTS TO CARRYING VALUE OF FINANCIAL ASSESTS</t>
  </si>
  <si>
    <t xml:space="preserve">LEASING CAPITAL </t>
  </si>
  <si>
    <t>Capital Cash Flow Value</t>
  </si>
  <si>
    <t>Equity Cash Flow Value</t>
  </si>
  <si>
    <t>Free Cash Flow Value</t>
  </si>
  <si>
    <t>Debt Value</t>
  </si>
  <si>
    <t>Equity Cash Flow &amp; Debt Value</t>
  </si>
  <si>
    <t xml:space="preserve">The Breakeven Point identifies the point where the total revenue is just sufficient to cover the total cost. </t>
  </si>
  <si>
    <t>Native people employed</t>
  </si>
  <si>
    <t xml:space="preserve"> </t>
  </si>
  <si>
    <t>YesNo</t>
  </si>
  <si>
    <t xml:space="preserve"> (Capital Spending </t>
  </si>
  <si>
    <t>- Depreciation)</t>
  </si>
  <si>
    <t>CALCULATION OF WACC</t>
  </si>
  <si>
    <t>Weighted Costs of Debt</t>
  </si>
  <si>
    <t>Weighted Costs of Equity</t>
  </si>
  <si>
    <t>INPUTS</t>
  </si>
  <si>
    <t>With a  ∆  Quantity Sold of</t>
  </si>
  <si>
    <t xml:space="preserve"> allows a ∆ EBITDA of  </t>
  </si>
  <si>
    <r>
      <t xml:space="preserve">∆ </t>
    </r>
    <r>
      <rPr>
        <sz val="10"/>
        <rFont val="Arial"/>
      </rPr>
      <t>EBITDA =</t>
    </r>
    <r>
      <rPr>
        <sz val="12"/>
        <rFont val="Arial"/>
        <family val="2"/>
      </rPr>
      <t xml:space="preserve"> ∆ </t>
    </r>
    <r>
      <rPr>
        <sz val="10"/>
        <rFont val="Arial"/>
      </rPr>
      <t xml:space="preserve"> Quantity Sold X Operating Leverage </t>
    </r>
    <r>
      <rPr>
        <sz val="10"/>
        <rFont val="Calibri"/>
        <family val="2"/>
      </rPr>
      <t>→</t>
    </r>
  </si>
  <si>
    <t>∆ Operating Cash Flow</t>
  </si>
  <si>
    <t xml:space="preserve">allows a ∆ Operating Cash Flow of </t>
  </si>
  <si>
    <t>Levered Cash Flow</t>
  </si>
  <si>
    <t>Terminal Value</t>
  </si>
  <si>
    <t xml:space="preserve"> (1+ Re)t</t>
  </si>
  <si>
    <t xml:space="preserve"> -----------------+-----------------+--------------- + --------------- + -------------- + --------------- =</t>
  </si>
  <si>
    <t>Italy Treasury + Country Risk premium (Sovereign Country Spread) + Country Expected Inflaction</t>
  </si>
  <si>
    <t>Italy. Equity Premium=</t>
  </si>
  <si>
    <t>Italy Treasury=</t>
  </si>
  <si>
    <r>
      <rPr>
        <sz val="10"/>
        <rFont val="Calibri"/>
        <family val="2"/>
      </rPr>
      <t>Δ</t>
    </r>
    <r>
      <rPr>
        <sz val="10"/>
        <rFont val="Arial"/>
      </rPr>
      <t xml:space="preserve"> funds</t>
    </r>
  </si>
  <si>
    <t>The structure of the business plan</t>
  </si>
  <si>
    <t xml:space="preserve">You have to capture your reader’s attention. You are telling the story of your business and what you propose to do with it is a fascinating story: tell it that way. </t>
  </si>
  <si>
    <t>It has a beginning, a middle and an end:</t>
  </si>
  <si>
    <t>Inputs (complete only the yellowed cells)</t>
  </si>
  <si>
    <t>Current year's numbers</t>
  </si>
  <si>
    <t>Operating income before taxes (EBIT)</t>
  </si>
  <si>
    <t>Income before taxes</t>
  </si>
  <si>
    <t>(Provison for) income taxes</t>
  </si>
  <si>
    <t>Net Income</t>
  </si>
  <si>
    <t>Book value of capital</t>
  </si>
  <si>
    <t>Depreciation &amp; Amortization</t>
  </si>
  <si>
    <t>Years to amortize R&amp;D expenses</t>
  </si>
  <si>
    <t>Current year's R&amp;D expenses</t>
  </si>
  <si>
    <t>Enter R&amp;D expenses for past years. The necessary number of years will be automatic determined from the amortization period indicated above. The first column must not be edited. Complete only into the coloured space.</t>
  </si>
  <si>
    <t>Year</t>
  </si>
  <si>
    <t>R&amp;D annual expenses</t>
  </si>
  <si>
    <t>Output</t>
  </si>
  <si>
    <t>R&amp;D Expenses</t>
  </si>
  <si>
    <t>Unamortized portion</t>
  </si>
  <si>
    <t>Amortization this year</t>
  </si>
  <si>
    <t>Current</t>
  </si>
  <si>
    <t>Total value of R&amp;D Asset</t>
  </si>
  <si>
    <t>R&amp;D expenses (current year)</t>
  </si>
  <si>
    <t>Asset amortization on current year</t>
  </si>
  <si>
    <t>Delta</t>
  </si>
  <si>
    <t>Without capitalizing</t>
  </si>
  <si>
    <t>With capitalizing</t>
  </si>
  <si>
    <t>delta</t>
  </si>
  <si>
    <t>Pre-tax Operating income (EBIT)</t>
  </si>
  <si>
    <t>Operating income after taxes</t>
  </si>
  <si>
    <t>Capital expenditures</t>
  </si>
  <si>
    <t>Net Capital Expenditures</t>
  </si>
  <si>
    <t>Capitalizing the costs of R&amp;D we can get an idea about the current condition of the firm and the future prospects for his business. Aside from the change in FCF generated  (negligible), the capitalization of expenditure on R&amp;D can have a significant impact on the ROIC. Through the ROIC we can measure how well a company generates cash flow relative to the capital it has invested in its business, so an increase (after R&amp;D capitalization) makes the firm healty, but a decrease reduces its prospects for future growth.</t>
  </si>
  <si>
    <t>Amortization Period</t>
  </si>
  <si>
    <t>Non-technological Service</t>
  </si>
  <si>
    <t>Retail, Tech Service</t>
  </si>
  <si>
    <t>Bank (Canadian)</t>
  </si>
  <si>
    <t>Light Manufacturing</t>
  </si>
  <si>
    <t>Bank (Foreign)</t>
  </si>
  <si>
    <t>Heavy Manufacturing</t>
  </si>
  <si>
    <t>Research, with Patenting</t>
  </si>
  <si>
    <t>Financial Services</t>
  </si>
  <si>
    <t>Long Gestation Period</t>
  </si>
  <si>
    <t>Grocery</t>
  </si>
  <si>
    <t>Retail (Special Lines)</t>
  </si>
  <si>
    <t>Beverage (Alcoholic)</t>
  </si>
  <si>
    <t>Beverage (Soft Drink)</t>
  </si>
  <si>
    <t>Computer Software &amp; Svcs</t>
  </si>
  <si>
    <t>Drugstore</t>
  </si>
  <si>
    <t>Food Wholesalers</t>
  </si>
  <si>
    <t>Furn./Home Furnishings</t>
  </si>
  <si>
    <t>Healthcare Info Systems</t>
  </si>
  <si>
    <t>Insurance (Diversified)</t>
  </si>
  <si>
    <t>Insurance (Prop/Casualty)</t>
  </si>
  <si>
    <t>Investment Co. (Domestic)</t>
  </si>
  <si>
    <t>Investment Co. (Foreign)</t>
  </si>
  <si>
    <t>Investment Co. (Income)</t>
  </si>
  <si>
    <t>Aluminum</t>
  </si>
  <si>
    <t>Auto Parts (OEM)</t>
  </si>
  <si>
    <t>Auto Parts (Replacement)</t>
  </si>
  <si>
    <t>Coal/Alternate Energy</t>
  </si>
  <si>
    <t>Computer &amp; Peripherals</t>
  </si>
  <si>
    <t>Copper</t>
  </si>
  <si>
    <t>Foreign Electron/Entertn</t>
  </si>
  <si>
    <t>Gold/Silver Mining</t>
  </si>
  <si>
    <t>Home Appliance</t>
  </si>
  <si>
    <t>Manuf. Housing/Rec Veh</t>
  </si>
  <si>
    <t>Medical Supplies</t>
  </si>
  <si>
    <t>Office Equip &amp; Supplies</t>
  </si>
  <si>
    <t>Oilfield Services/Equip.</t>
  </si>
  <si>
    <t>Semiconductor Cap Equip</t>
  </si>
  <si>
    <t>Steel (General)</t>
  </si>
  <si>
    <t>Steel (Integrated)</t>
  </si>
  <si>
    <t>Textile</t>
  </si>
  <si>
    <t>Tire &amp; Rubber</t>
  </si>
  <si>
    <t>Trucking/Transp. Leasing</t>
  </si>
  <si>
    <t>Auto &amp; Truck</t>
  </si>
  <si>
    <t>Canadian Energy</t>
  </si>
  <si>
    <t>Cement &amp; Aggregates</t>
  </si>
  <si>
    <t>Foreign Telecom.</t>
  </si>
  <si>
    <t>Natural Gas (Distrib.)</t>
  </si>
  <si>
    <t>Natural Gas (Diversified)</t>
  </si>
  <si>
    <t>Paper &amp; Forest Products</t>
  </si>
  <si>
    <r>
      <t xml:space="preserve">Expenditures for research and developement are particular. They are current, so are placed in the income statement, but the firm will benefit of them for more than one year. For this reason, they are long-term benefits and we must convert R&amp;D expenses into capital invested. If we want to valuate a firm, we must consider the R&amp;S expenses as capital expenses, so we can see the adjustments to operating income, net income, book value of assets and the book value of equity.
</t>
    </r>
    <r>
      <rPr>
        <i/>
        <sz val="12"/>
        <rFont val="Calibri"/>
        <family val="2"/>
      </rPr>
      <t xml:space="preserve">This model can also be used to convert other intangible assets, such as human capital, into capital invested. </t>
    </r>
  </si>
  <si>
    <t>Conversion of R&amp;D Expenses into Invested Capital</t>
  </si>
  <si>
    <t>Amortizable Lives Table</t>
  </si>
  <si>
    <t xml:space="preserve">The income approach measures the value of the brand by reference to the present value of the economic benefits expected to be received over the remaining useful economic life of the brand itself. This income approach shall include estimating the expected after-tax cash flow streams attributable to the asset over its remaining useful economic life, and converting these after-tax cash flow streams to the present value discounting them with an appropriate discount rate.
Regardless of the method used, the income approach is characterized by some key moments that are the determination of cash flows and financial variables:
1. DETERMINATION OF CASH FLOWS. The cash flows (or an alternative measure of brand earnings) used in a brand valuation shall be those cash flows reasonably attributable to the brand. Various methods exist to determine them:
   a) PRICE AND VOLUME PREMIUM METHOD
   b) INCOME-SPLIT METHOD
   c) MULTI-PERIOD EXCESS EARNINGS METHOD
   d) INCREMENTAL CASH FLOW METHOD
   e) ROYALTY RELIEF METHOD
2. DETERMINATION OF FINANCIAL VARIABLES.
   a) DETERMINATION OF DISCOUNT RATE. Under the income approach, risks that are not already reflected in future cash flows must be considered in the discount rate. The discount rate used for discounting the future expected cash flows attributable to the brand is usually derived from the discount rate used for the discounting of cash flows generated by the total business: the Weighted Average Cost of Capital (WACC). As a business is a portfolio of assets and liabilities, the discount rate shall also reflect the specific risks of the brand. Unless explicitly considered in the cash flow projection or in the estimated lifetime of the asset, some entity-specific factors shall be considered in the discount rate including, but not limited to, market, behavioural and legal risks.
   b) USEFUL ECONOMIC LIFE. The useful economic life of a brand, using the income approach, shall consider the general trend for brands in the industry in which the brand is used. The valuation shall not cover a forecast period that exceeds the remaining useful economic life of the brand.
   NOTE: it is possible to have an indefinite useful economic life.
  c) TAX CONSIDERATIONS. 
       –  TAX RATE. Cash flows in the income approach shall be calculated on the after-tax basis.
       –  TAX AMORTIZATION BENEFIT (TAB). When valuing a brand, the effect of tax savings through depreciation (amortization) shall be considered and, where relevant, calculated. The valuation reports shall clearly state if the value includes the value of any tax savings and, where relevant, show this value as a separate item.
   d) LONG-TERM GROWTH RATE. Under the income method, the period beyond the explicit forecast shall be valued using a long-term expected growth rate. The growth rate used shall be based on justifiable economic fundamentals.
</t>
  </si>
  <si>
    <t>1) Determination of cash flow:</t>
  </si>
  <si>
    <r>
      <t>The price/volume premium method estimates the value of a brand by reference to the price premium that it generates. The selling price of a branded product (good or service) has to be compared with the selling price of a generic unbranded product. To determine additional cash flow generated by the brand, it is necessary to identify and eliminate the non-brand factors that make possible for the brand to practice a higher price for its products: additional and extra costs incurred in order to be able to charge a premium price must be deducted. Identify a generic unbranded product for the comparison can be often difficult, so it is possible to determine the premium price by comparing the higher-priced brand with the one with the lowest market strength (</t>
    </r>
    <r>
      <rPr>
        <sz val="10"/>
        <color rgb="FFFF0000"/>
        <rFont val="Calibri"/>
        <scheme val="minor"/>
      </rPr>
      <t>see 6.2.4</t>
    </r>
    <r>
      <rPr>
        <sz val="10"/>
        <color theme="1"/>
        <rFont val="Calibri"/>
        <family val="2"/>
        <scheme val="minor"/>
      </rPr>
      <t>). The price premium method is connected with the volume premium method. In addition, it shall take into account cost-saving benefits.</t>
    </r>
  </si>
  <si>
    <t>Benchmark volume:</t>
  </si>
  <si>
    <t>Branded product/service volume:</t>
  </si>
  <si>
    <t>Price premium of the brand (absolute):</t>
  </si>
  <si>
    <t>Price premium of the brand (%):</t>
  </si>
  <si>
    <t>Volume premium of the brand (absolute):</t>
  </si>
  <si>
    <t>Volume premium of the brand (%):</t>
  </si>
  <si>
    <t>Additional cash flow attributable to the brand:</t>
  </si>
  <si>
    <t>2) Determination of financial variables:</t>
  </si>
  <si>
    <t>Is the remaing useful economic life of the brand finite?</t>
  </si>
  <si>
    <t>YES</t>
  </si>
  <si>
    <t>(annual)</t>
  </si>
  <si>
    <t xml:space="preserve">     If YES, how long is its remaing useful economic life?</t>
  </si>
  <si>
    <t>Do you aspect a future stable growth for the brand?</t>
  </si>
  <si>
    <t xml:space="preserve">     If YES, what is the growth rate do you aspect?</t>
  </si>
  <si>
    <t>Suggested capitalization rate (WACC):</t>
  </si>
  <si>
    <t>Do you think that using WACC is correct?</t>
  </si>
  <si>
    <t xml:space="preserve">     If YES, what is the rate you think correct to use?</t>
  </si>
  <si>
    <t>Capitalization rate to be used:</t>
  </si>
  <si>
    <t>3) Determination of the actual value of the brand:</t>
  </si>
  <si>
    <t>Actualization factor:</t>
  </si>
  <si>
    <t>ACTUAL VALUE OF THE BRAND:</t>
  </si>
  <si>
    <t>The income-split method values the brand as the present value portion of the economic profit attributable to the brand over the rest of its useful life.
It starts from the net operating income from which deducts a charge for total tangible capital employed in the branded business, to arrive to the economic profit attributable to total intangible capital employed. However, this method involves some problems when profits are negative, leading to unrealistic brand value and also profits can be manipulated, misrepresenting the brand value. 
A behavioral (qualitative) and market analysis is then necessary to identify the percentage contribution of the single brand to these intangible cash flows and to value cration (increasing earnings or reducing costs). The same analysis can be used to determine the percentage contribution of other intangible assets such as patents, applied technologies, know-how and human capital. 
The value of the brand is the present value of the percentage of future intangible economic profits attributable to the brand over its remaining useful economic life.</t>
  </si>
  <si>
    <t>Operating income before taxes (EBIT):</t>
  </si>
  <si>
    <t>Income before taxes:</t>
  </si>
  <si>
    <t>Income taxes (provision for):</t>
  </si>
  <si>
    <t>Tax rate (avarage):</t>
  </si>
  <si>
    <t>Operating income taxes (provison for):</t>
  </si>
  <si>
    <t>Net operating income:</t>
  </si>
  <si>
    <t>From balance sheet, income and cash flow statement:</t>
  </si>
  <si>
    <t>Total tangible assets:</t>
  </si>
  <si>
    <t>Depreciation and amortization for tangible assets:</t>
  </si>
  <si>
    <t>Annual avarage use of tangible assets in the business:</t>
  </si>
  <si>
    <t>Calculated avarage useful life for tangible assets:</t>
  </si>
  <si>
    <t>(years)</t>
  </si>
  <si>
    <t>Extimated market value of tangible assets:</t>
  </si>
  <si>
    <t>Charge for total tangible capital used in the business:</t>
  </si>
  <si>
    <t>Additional cash flow generated from intangibles:</t>
  </si>
  <si>
    <t>From behavioural and market researches:</t>
  </si>
  <si>
    <t>Extimated contribution of the brand to generate cash flows:</t>
  </si>
  <si>
    <t>ACTUAL VALUE OF THE BRAND</t>
  </si>
  <si>
    <t>The multi-period excess earnings method is very similar to the previous income-split method. However, in this case, the valuer first values each tangible and intangible asset used in the branded business (different from the brand). When there are several tangible and intangible assets generating cash flow in the business, this method requires a valuation of each individual group of assets in order to be able to calculate the cost of capital related to each of them.
Having find the markt values of all tangible and intangible assets (different from the brand) employed in the business, the valuer make a charge against the net operating income for each of these assets, leaving residual earnings attributable to the brand alone. 
So, the brand value is the present value of all such residual cash flows over the extimated remaining useful economic life of the brand.</t>
  </si>
  <si>
    <t>From balance sheet (book value):</t>
  </si>
  <si>
    <t>Total intangible assets:</t>
  </si>
  <si>
    <t>Total assets:</t>
  </si>
  <si>
    <t>From income/cash flow statement (book value):</t>
  </si>
  <si>
    <t>Depreciation and amortization for intangible assets:</t>
  </si>
  <si>
    <t>Total depreciation and amortization:</t>
  </si>
  <si>
    <t>Annual use of intangible assets in the business:</t>
  </si>
  <si>
    <t>Calculated avarage useful life for intangible assets:</t>
  </si>
  <si>
    <t>Extimated market value of intangible assets:</t>
  </si>
  <si>
    <t>Charge for total intangible capital used in the business:</t>
  </si>
  <si>
    <t>Total charge for the assets used in the business:</t>
  </si>
  <si>
    <t>The incremental cash flow method identifies all cash flows generated by the brand in a business by comparison with comparable businesses with no such brand. This is a more detailed and complex approach which tends not to be used in technical brand valuations but is extremely useful for strategic, commercial purposes. In practice, there are only few situations where it is possible to identify such similar conditions of operations: finding similar unbranded companies can be difficult. 
Additional cash flows (benefits) are not generated only through increased revenues, but also through reduced costs. Such cost efficiencies should be identified and considered when valuing a brand.</t>
  </si>
  <si>
    <t>Cash flow of a comparable unbranded firm:</t>
  </si>
  <si>
    <t>The royalty relief method is the most widely used method to determine the cash flow generated by the brand. This method assumes that the brand is not owned by the branded firm, but instead is licensed in from a third-party. The value of the brand is the present value of expected future royalty payments and which represent the money saved through the ownership of the brand.
The royalty rate applied in the valuation is determined after an in-depth analysis of available data from licensing arrangements for comparable brands and an appropriate split of brand earnings between licensor and licensee, using behavioural and business analysis, and should be as close as possible to brands with the same characteristics and size as the brand subjected to the evaluation.
This method is widely used because it is grounded in commercial reality and can be benchmarked against real world transactions.</t>
  </si>
  <si>
    <t>From market researches and analysis:</t>
  </si>
  <si>
    <t>Hypothetical royalties payed for the licensing of the brand:</t>
  </si>
  <si>
    <t>PRICE/VOLUME PREMIUM METHOD (complete only the yellowed cells)</t>
  </si>
  <si>
    <t>INCOME-SPLIT METHOD (complete only the yellowed cells)</t>
  </si>
  <si>
    <t>MULTI-PERIOD EXCESS EARNINGS METHOD (complete only the yellowed cells)</t>
  </si>
  <si>
    <t>INCREMENTAL CASH FLOW METHOD (complete only the yellowed cells)</t>
  </si>
  <si>
    <t>ROYALTY RELIEF METHOD (complete only the yellowed cells)</t>
  </si>
  <si>
    <t>Benchmark price per unit:</t>
  </si>
  <si>
    <t>Branded product/service price per unit:</t>
  </si>
  <si>
    <t>Net Operating Income</t>
  </si>
  <si>
    <t>AMORTISATIONS AND DEPRECIATIONS (tangible assets)</t>
  </si>
  <si>
    <t>AMORTISATIONS AND DEPRECIATIONS (intangible assets)</t>
  </si>
  <si>
    <t>http://ssrn.com/abstract=2323674</t>
  </si>
  <si>
    <t>INCOME-BASED APPROACH METHODS</t>
  </si>
  <si>
    <t>SUMMARY OF INTANGIBLES EVALUATION APPROACHES AND METHODS</t>
  </si>
  <si>
    <t>NPV is an abbreviation for Net Present Value.</t>
  </si>
  <si>
    <t>Summary of current rate of inflation (CPI) in a large number of countries</t>
  </si>
  <si>
    <t> CPI Austria</t>
  </si>
  <si>
    <t> CPI Belgium</t>
  </si>
  <si>
    <t> CPI Brazil</t>
  </si>
  <si>
    <t> CPI Canada</t>
  </si>
  <si>
    <t> CPI Chile</t>
  </si>
  <si>
    <t> CPI China</t>
  </si>
  <si>
    <t> CPI Czech Republic</t>
  </si>
  <si>
    <t> CPI Denmark</t>
  </si>
  <si>
    <t> CPI Estonia</t>
  </si>
  <si>
    <t> CPI Finland</t>
  </si>
  <si>
    <t> CPI France</t>
  </si>
  <si>
    <t> CPI Germany</t>
  </si>
  <si>
    <t> CPI Great Britain</t>
  </si>
  <si>
    <t>2.000 %</t>
  </si>
  <si>
    <t> CPI Greece</t>
  </si>
  <si>
    <t> CPI Hungary</t>
  </si>
  <si>
    <t> CPI Iceland</t>
  </si>
  <si>
    <t>0.513 %</t>
  </si>
  <si>
    <t> CPI India</t>
  </si>
  <si>
    <t> CPI Indonesia</t>
  </si>
  <si>
    <t> CPI Ireland</t>
  </si>
  <si>
    <t>0.000 %</t>
  </si>
  <si>
    <t>0.198 %</t>
  </si>
  <si>
    <t> CPI Israel</t>
  </si>
  <si>
    <t> CPI Italy</t>
  </si>
  <si>
    <t> CPI Japan</t>
  </si>
  <si>
    <t> CPI Luxembourg</t>
  </si>
  <si>
    <t> CPI Mexico</t>
  </si>
  <si>
    <t> CPI Norway</t>
  </si>
  <si>
    <t> CPI Poland</t>
  </si>
  <si>
    <t>0.081 %</t>
  </si>
  <si>
    <t> CPI Portugal</t>
  </si>
  <si>
    <t> CPI Russia</t>
  </si>
  <si>
    <t> CPI Slovakia</t>
  </si>
  <si>
    <t> CPI Slovenia</t>
  </si>
  <si>
    <t> CPI South Africa</t>
  </si>
  <si>
    <t> CPI South Korea</t>
  </si>
  <si>
    <t> CPI Spain</t>
  </si>
  <si>
    <t>0.090 %</t>
  </si>
  <si>
    <t> CPI Sweden</t>
  </si>
  <si>
    <t> CPI Switzerland</t>
  </si>
  <si>
    <t> CPI the Netherlands</t>
  </si>
  <si>
    <t> CPI Turkey</t>
  </si>
  <si>
    <t> CPI United States</t>
  </si>
  <si>
    <t>-0.009 %</t>
  </si>
  <si>
    <t>Installements</t>
  </si>
  <si>
    <t>Total</t>
  </si>
  <si>
    <t>Sep 2012</t>
  </si>
  <si>
    <t>106.32</t>
  </si>
  <si>
    <t>0.99 %</t>
  </si>
  <si>
    <t>Oct 2012</t>
  </si>
  <si>
    <t>103.39</t>
  </si>
  <si>
    <t>-2.76 %</t>
  </si>
  <si>
    <t>101.17</t>
  </si>
  <si>
    <t>-2.15 %</t>
  </si>
  <si>
    <t>Dec 2012</t>
  </si>
  <si>
    <t>0.00 %</t>
  </si>
  <si>
    <t>Jan 2013</t>
  </si>
  <si>
    <t>105.04</t>
  </si>
  <si>
    <t>3.83 %</t>
  </si>
  <si>
    <t>107.66</t>
  </si>
  <si>
    <t>2.49 %</t>
  </si>
  <si>
    <t>102.61</t>
  </si>
  <si>
    <t>-4.69 %</t>
  </si>
  <si>
    <t>98.85</t>
  </si>
  <si>
    <t>-3.66 %</t>
  </si>
  <si>
    <t>May 2013</t>
  </si>
  <si>
    <t>99.35</t>
  </si>
  <si>
    <t>0.51 %</t>
  </si>
  <si>
    <t>Jun 2013</t>
  </si>
  <si>
    <t>99.74</t>
  </si>
  <si>
    <t>0.39 %</t>
  </si>
  <si>
    <t>Jul 2013</t>
  </si>
  <si>
    <t>105.21</t>
  </si>
  <si>
    <t>5.48 %</t>
  </si>
  <si>
    <t>Aug 2013</t>
  </si>
  <si>
    <t>108.06</t>
  </si>
  <si>
    <t>2.71 %</t>
  </si>
  <si>
    <t>Sep 2013</t>
  </si>
  <si>
    <t>108.78</t>
  </si>
  <si>
    <t>0.67 %</t>
  </si>
  <si>
    <t>Oct 2013</t>
  </si>
  <si>
    <t>105.46</t>
  </si>
  <si>
    <t>-3.05 %</t>
  </si>
  <si>
    <t>102.58</t>
  </si>
  <si>
    <t>-2.73 %</t>
  </si>
  <si>
    <t>Dec 2013</t>
  </si>
  <si>
    <t>105.49</t>
  </si>
  <si>
    <t>2.84 %</t>
  </si>
  <si>
    <t>Jan 2014</t>
  </si>
  <si>
    <t>102.25</t>
  </si>
  <si>
    <t>-3.07 %</t>
  </si>
  <si>
    <t>104.82</t>
  </si>
  <si>
    <t>2.51 %</t>
  </si>
  <si>
    <t>104.04</t>
  </si>
  <si>
    <t>-0.74 %</t>
  </si>
  <si>
    <t>104.94</t>
  </si>
  <si>
    <t>0.87 %</t>
  </si>
  <si>
    <t>May 2014</t>
  </si>
  <si>
    <t>105.73</t>
  </si>
  <si>
    <t>0.75 %</t>
  </si>
  <si>
    <t>Jun 2014</t>
  </si>
  <si>
    <t>108.37</t>
  </si>
  <si>
    <t>2.50 %</t>
  </si>
  <si>
    <t>Jul 2014</t>
  </si>
  <si>
    <t>105.22</t>
  </si>
  <si>
    <t>-2.91 %</t>
  </si>
  <si>
    <t>Aug 2014</t>
  </si>
  <si>
    <t>100.05</t>
  </si>
  <si>
    <t>-4.91 %</t>
  </si>
  <si>
    <t>Sep 2014</t>
  </si>
  <si>
    <t>95.89</t>
  </si>
  <si>
    <t>-4.16 %</t>
  </si>
  <si>
    <t>Oct 2014</t>
  </si>
  <si>
    <t>86.13</t>
  </si>
  <si>
    <t>-10.18 %</t>
  </si>
  <si>
    <t>76.96</t>
  </si>
  <si>
    <t>-10.65 %</t>
  </si>
  <si>
    <t>Dec 2014</t>
  </si>
  <si>
    <t>60.55</t>
  </si>
  <si>
    <t>-21.32 %</t>
  </si>
  <si>
    <t>Jan 2015</t>
  </si>
  <si>
    <t>47.45</t>
  </si>
  <si>
    <t>-21.64 %</t>
  </si>
  <si>
    <t>54.93</t>
  </si>
  <si>
    <t>15.76 %</t>
  </si>
  <si>
    <t>52.83</t>
  </si>
  <si>
    <t>-3.82 %</t>
  </si>
  <si>
    <t>57.42</t>
  </si>
  <si>
    <t>8.69 %</t>
  </si>
  <si>
    <t>May 2015</t>
  </si>
  <si>
    <t>62.50</t>
  </si>
  <si>
    <t>8.85 %</t>
  </si>
  <si>
    <t>Jun 2015</t>
  </si>
  <si>
    <t>61.30</t>
  </si>
  <si>
    <t>-1.92 %</t>
  </si>
  <si>
    <t>Jul 2015</t>
  </si>
  <si>
    <t>54.43</t>
  </si>
  <si>
    <t>-11.21 %</t>
  </si>
  <si>
    <t>Aug 2015</t>
  </si>
  <si>
    <t>45.72</t>
  </si>
  <si>
    <t>-16.00 %</t>
  </si>
  <si>
    <t>Sep 2015</t>
  </si>
  <si>
    <t>46.29</t>
  </si>
  <si>
    <t>1.25 %</t>
  </si>
  <si>
    <t>Oct 2015</t>
  </si>
  <si>
    <t>46.96</t>
  </si>
  <si>
    <t>1.45 %</t>
  </si>
  <si>
    <t>43.13</t>
  </si>
  <si>
    <t>-8.16 %</t>
  </si>
  <si>
    <t>Inflation update November, 2015</t>
  </si>
  <si>
    <t>inflation figure</t>
  </si>
  <si>
    <t>Country/  region</t>
  </si>
  <si>
    <t>Period</t>
  </si>
  <si>
    <t>Inflatin monthly basis</t>
  </si>
  <si>
    <t>Inflation yearly basis</t>
  </si>
  <si>
    <t>november 2015</t>
  </si>
  <si>
    <t>0.635 %</t>
  </si>
  <si>
    <t>0.102 %</t>
  </si>
  <si>
    <t>1.517 %</t>
  </si>
  <si>
    <t>1.010 %</t>
  </si>
  <si>
    <t>10.476 %</t>
  </si>
  <si>
    <t>-0.079 %</t>
  </si>
  <si>
    <t>1.356 %</t>
  </si>
  <si>
    <t>-0.027 %</t>
  </si>
  <si>
    <t>3.938 %</t>
  </si>
  <si>
    <t>october 2015</t>
  </si>
  <si>
    <t>-0.347 %</t>
  </si>
  <si>
    <t>1.264 %</t>
  </si>
  <si>
    <t>-0.405 %</t>
  </si>
  <si>
    <t>-0.304 %</t>
  </si>
  <si>
    <t>0.306 %</t>
  </si>
  <si>
    <t>-0.298 %</t>
  </si>
  <si>
    <t>-0.144 %</t>
  </si>
  <si>
    <t>-0.165 %</t>
  </si>
  <si>
    <t>-0.238 %</t>
  </si>
  <si>
    <t>-0.188 %</t>
  </si>
  <si>
    <t>0.039 %</t>
  </si>
  <si>
    <t>0.093 %</t>
  </si>
  <si>
    <t>0.375 %</t>
  </si>
  <si>
    <t>-0.078 %</t>
  </si>
  <si>
    <t>0.078 %</t>
  </si>
  <si>
    <t>-0.756 %</t>
  </si>
  <si>
    <t>-0.742 %</t>
  </si>
  <si>
    <t>0.521 %</t>
  </si>
  <si>
    <t>-0.335 %</t>
  </si>
  <si>
    <t>1.987 %</t>
  </si>
  <si>
    <t>1.128 %</t>
  </si>
  <si>
    <t>6.324 %</t>
  </si>
  <si>
    <t>0.206 %</t>
  </si>
  <si>
    <t>4.891 %</t>
  </si>
  <si>
    <t>-0.295 %</t>
  </si>
  <si>
    <t>-0.197 %</t>
  </si>
  <si>
    <t>-0.402 %</t>
  </si>
  <si>
    <t>-0.865 %</t>
  </si>
  <si>
    <t>-0.371 %</t>
  </si>
  <si>
    <t>0.290 %</t>
  </si>
  <si>
    <t>0.066 %</t>
  </si>
  <si>
    <t>0.826 %</t>
  </si>
  <si>
    <t>0.546 %</t>
  </si>
  <si>
    <t>2.215 %</t>
  </si>
  <si>
    <t>0.354 %</t>
  </si>
  <si>
    <t>2.756 %</t>
  </si>
  <si>
    <t>-0.082 %</t>
  </si>
  <si>
    <t>-0.810 %</t>
  </si>
  <si>
    <t>0.644 %</t>
  </si>
  <si>
    <t>0.741 %</t>
  </si>
  <si>
    <t>15.594 %</t>
  </si>
  <si>
    <t>0.061 %</t>
  </si>
  <si>
    <t>-0.548 %</t>
  </si>
  <si>
    <t>0.131 %</t>
  </si>
  <si>
    <t>-0.488 %</t>
  </si>
  <si>
    <t>0.172 %</t>
  </si>
  <si>
    <t>4.770 %</t>
  </si>
  <si>
    <t>-0.118 %</t>
  </si>
  <si>
    <t>1.002 %</t>
  </si>
  <si>
    <t>0.366 %</t>
  </si>
  <si>
    <t>-0.274 %</t>
  </si>
  <si>
    <t>-0.172 %</t>
  </si>
  <si>
    <t>-0.072 %</t>
  </si>
  <si>
    <t>-1.393 %</t>
  </si>
  <si>
    <t>-0.322 %</t>
  </si>
  <si>
    <t>0.700 %</t>
  </si>
  <si>
    <t>0.666 %</t>
  </si>
  <si>
    <t>8.102 %</t>
  </si>
  <si>
    <t>-0.211 %</t>
  </si>
  <si>
    <t>0.502 %</t>
  </si>
  <si>
    <t>http://www.global-rates.com/interest-rates/euribor/2015.aspx</t>
  </si>
  <si>
    <t>Euribor 2015, all maturities</t>
  </si>
  <si>
    <t xml:space="preserve"> Maturity / rates in 2015</t>
  </si>
  <si>
    <t> Euribor interest rate - 1 week</t>
  </si>
  <si>
    <t>-0.020 %</t>
  </si>
  <si>
    <t>-0.228 %</t>
  </si>
  <si>
    <t>-0.004 %</t>
  </si>
  <si>
    <t>-0.252 %</t>
  </si>
  <si>
    <t>-0.113 %</t>
  </si>
  <si>
    <t> Euribor interest rate - 2 weeks</t>
  </si>
  <si>
    <t>-0.011 %</t>
  </si>
  <si>
    <t>-0.224 %</t>
  </si>
  <si>
    <t>-0.234 %</t>
  </si>
  <si>
    <t>-0.104 %</t>
  </si>
  <si>
    <t> Euribor interest rate - 3 weeks</t>
  </si>
  <si>
    <t> Euribor interest rate - 1 month</t>
  </si>
  <si>
    <t>0.016 %</t>
  </si>
  <si>
    <t>-0.201 %</t>
  </si>
  <si>
    <t>-0.070 %</t>
  </si>
  <si>
    <t> Euribor interest rate - 2 months</t>
  </si>
  <si>
    <t>0.044 %</t>
  </si>
  <si>
    <t>-0.162 %</t>
  </si>
  <si>
    <t>-0.041 %</t>
  </si>
  <si>
    <t> Euribor interest rate - 3 months</t>
  </si>
  <si>
    <t>0.076 %</t>
  </si>
  <si>
    <t>-0.131 %</t>
  </si>
  <si>
    <t>-0.133 %</t>
  </si>
  <si>
    <t>-0.018 %</t>
  </si>
  <si>
    <t> Euribor interest rate - 4 months</t>
  </si>
  <si>
    <t> Euribor interest rate - 5 months</t>
  </si>
  <si>
    <t> Euribor interest rate - 6 months</t>
  </si>
  <si>
    <t>0.169 %</t>
  </si>
  <si>
    <t>-0.040 %</t>
  </si>
  <si>
    <t>-0.051 %</t>
  </si>
  <si>
    <t>0.055 %</t>
  </si>
  <si>
    <t> Euribor interest rate - 7 months</t>
  </si>
  <si>
    <t> Euribor interest rate - 8 months</t>
  </si>
  <si>
    <t> Euribor interest rate - 9 months</t>
  </si>
  <si>
    <t>0.243 %</t>
  </si>
  <si>
    <t>0.004 %</t>
  </si>
  <si>
    <t>-0.013 %</t>
  </si>
  <si>
    <t>0.105 %</t>
  </si>
  <si>
    <t> Euribor interest rate - 10 months</t>
  </si>
  <si>
    <t> Euribor interest rate - 11 months</t>
  </si>
  <si>
    <t> Euribor interest rate - 12 months</t>
  </si>
  <si>
    <t>0.323 %</t>
  </si>
  <si>
    <t>0.060 %</t>
  </si>
  <si>
    <t> American interest rate FED</t>
  </si>
  <si>
    <t>0.500 %</t>
  </si>
  <si>
    <t>0.250 %</t>
  </si>
  <si>
    <t>12-16-2015</t>
  </si>
  <si>
    <t> Australian interest rate RBA</t>
  </si>
  <si>
    <t>2.250 %</t>
  </si>
  <si>
    <t> Banco Central interest rate</t>
  </si>
  <si>
    <t>3.500 %</t>
  </si>
  <si>
    <t>3.250 %</t>
  </si>
  <si>
    <t>12-17-2015</t>
  </si>
  <si>
    <t> Bank of Korea interest rate</t>
  </si>
  <si>
    <t>1.500 %</t>
  </si>
  <si>
    <t>1.750 %</t>
  </si>
  <si>
    <t> Brazilian interest rate BACEN</t>
  </si>
  <si>
    <t>14.250 %</t>
  </si>
  <si>
    <t>13.750 %</t>
  </si>
  <si>
    <t>07-30-2015</t>
  </si>
  <si>
    <t> British interest rate BoE</t>
  </si>
  <si>
    <t>1.000 %</t>
  </si>
  <si>
    <t> Canadian interest rate BOC</t>
  </si>
  <si>
    <t>0.750 %</t>
  </si>
  <si>
    <t>07-15-2015</t>
  </si>
  <si>
    <t> Chinese interest rate PBC</t>
  </si>
  <si>
    <t>4.350 %</t>
  </si>
  <si>
    <t>4.600 %</t>
  </si>
  <si>
    <t>10-23-2015</t>
  </si>
  <si>
    <t> Czech interest rate CNB</t>
  </si>
  <si>
    <t>0.050 %</t>
  </si>
  <si>
    <t> Danish interest rate Nationalbanken</t>
  </si>
  <si>
    <t>0.200 %</t>
  </si>
  <si>
    <t>01-19-2015</t>
  </si>
  <si>
    <t> European interest rate ECB</t>
  </si>
  <si>
    <t>0.150 %</t>
  </si>
  <si>
    <t> Hungarian interest rate</t>
  </si>
  <si>
    <t>1.350 %</t>
  </si>
  <si>
    <t>07-21-2015</t>
  </si>
  <si>
    <t> Indian interest rate RBI</t>
  </si>
  <si>
    <t>6.750 %</t>
  </si>
  <si>
    <t>7.250 %</t>
  </si>
  <si>
    <t>09-29-2015</t>
  </si>
  <si>
    <t> Indonesian interest rate BI</t>
  </si>
  <si>
    <t>7.500 %</t>
  </si>
  <si>
    <t>7.750 %</t>
  </si>
  <si>
    <t>02-17-2015</t>
  </si>
  <si>
    <t> Israeli interest rate BOI</t>
  </si>
  <si>
    <t>0.100 %</t>
  </si>
  <si>
    <t>02-23-2015</t>
  </si>
  <si>
    <t> Japanese interest rate BoJ</t>
  </si>
  <si>
    <t> Mexican interest rate Banxico</t>
  </si>
  <si>
    <t>3.000 %</t>
  </si>
  <si>
    <t> New Zealand interest rate</t>
  </si>
  <si>
    <t>2.500 %</t>
  </si>
  <si>
    <t>2.750 %</t>
  </si>
  <si>
    <t> Norwegian interest rate</t>
  </si>
  <si>
    <t>09-24-2015</t>
  </si>
  <si>
    <t> Polish interest rate</t>
  </si>
  <si>
    <t> Russian interest rate CBR</t>
  </si>
  <si>
    <t>11.000 %</t>
  </si>
  <si>
    <t>11.500 %</t>
  </si>
  <si>
    <t>07-31-2015</t>
  </si>
  <si>
    <t> Saudi Ariabian interest rate</t>
  </si>
  <si>
    <t>01-19-2009</t>
  </si>
  <si>
    <t> South African interest rate SARB</t>
  </si>
  <si>
    <t>6.250 %</t>
  </si>
  <si>
    <t>6.000 %</t>
  </si>
  <si>
    <t>11-19-2015</t>
  </si>
  <si>
    <t> Swedish interest rate Riksbank</t>
  </si>
  <si>
    <t>-0.350 %</t>
  </si>
  <si>
    <t>-0.250 %</t>
  </si>
  <si>
    <t> Swiss interest rate SNB</t>
  </si>
  <si>
    <t>-0.750 %</t>
  </si>
  <si>
    <t>-0.500 %</t>
  </si>
  <si>
    <t>01-15-2015</t>
  </si>
  <si>
    <t> Turkish interest rate CBRT</t>
  </si>
  <si>
    <t>02-24-2015</t>
  </si>
  <si>
    <t>http://www.global-rates.com/interest-rates/libor/american-dollar/2015.aspx</t>
  </si>
  <si>
    <t>US Dollar LIBOR interest rates 2015, all maturities</t>
  </si>
  <si>
    <t xml:space="preserve"> Maturity / rate 2015</t>
  </si>
  <si>
    <t> USD LIBOR - overnight</t>
  </si>
  <si>
    <t>0.113 %</t>
  </si>
  <si>
    <t>0.367 %</t>
  </si>
  <si>
    <t>0.112 %</t>
  </si>
  <si>
    <t>0.132 %</t>
  </si>
  <si>
    <t> USD LIBOR - 1 week</t>
  </si>
  <si>
    <t>0.135 %</t>
  </si>
  <si>
    <t>0.390 %</t>
  </si>
  <si>
    <t>0.391 %</t>
  </si>
  <si>
    <t>0.157 %</t>
  </si>
  <si>
    <t> USD LIBOR - 2 weeks</t>
  </si>
  <si>
    <t> USD LIBOR - 1 month</t>
  </si>
  <si>
    <t>0.168 %</t>
  </si>
  <si>
    <t>0.422 %</t>
  </si>
  <si>
    <t>0.166 %</t>
  </si>
  <si>
    <t> USD LIBOR - 2 months</t>
  </si>
  <si>
    <t>0.214 %</t>
  </si>
  <si>
    <t>0.514 %</t>
  </si>
  <si>
    <t>0.208 %</t>
  </si>
  <si>
    <t>0.254 %</t>
  </si>
  <si>
    <t> USD LIBOR - 3 months</t>
  </si>
  <si>
    <t>0.256 %</t>
  </si>
  <si>
    <t>0.603 %</t>
  </si>
  <si>
    <t>0.251 %</t>
  </si>
  <si>
    <t>0.312 %</t>
  </si>
  <si>
    <t> USD LIBOR - 4 months</t>
  </si>
  <si>
    <t> USD LIBOR - 5 months</t>
  </si>
  <si>
    <t> USD LIBOR - 6 months</t>
  </si>
  <si>
    <t>0.365 %</t>
  </si>
  <si>
    <t>0.827 %</t>
  </si>
  <si>
    <t>0.481 %</t>
  </si>
  <si>
    <t> USD LIBOR - 7 months</t>
  </si>
  <si>
    <t> USD LIBOR - 8 months</t>
  </si>
  <si>
    <t> USD LIBOR - 9 months</t>
  </si>
  <si>
    <t> USD LIBOR - 10 months</t>
  </si>
  <si>
    <t> USD LIBOR - 11 months</t>
  </si>
  <si>
    <t> USD LIBOR - 12 months</t>
  </si>
  <si>
    <t>0.633 %</t>
  </si>
  <si>
    <t>1.148 %</t>
  </si>
  <si>
    <t>0.610 %</t>
  </si>
  <si>
    <t>0.790 %</t>
  </si>
  <si>
    <t>http://cambi.bancaditalia.it/cambi/cambiMedieM.do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</si>
</sst>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41" formatCode="_-* #,##0_-;\-* #,##0_-;_-* &quot;-&quot;_-;_-@_-"/>
    <numFmt numFmtId="44" formatCode="_-&quot;€&quot;\ * #,##0.00_-;\-&quot;€&quot;\ * #,##0.00_-;_-&quot;€&quot;\ * &quot;-&quot;??_-;_-@_-"/>
    <numFmt numFmtId="43" formatCode="_-* #,##0.00_-;\-* #,##0.00_-;_-* &quot;-&quot;??_-;_-@_-"/>
    <numFmt numFmtId="164" formatCode="_(* #,##0.00_);_(* \(#,##0.00\);_(* &quot;-&quot;??_);_(@_)"/>
    <numFmt numFmtId="165" formatCode="_([$$-409]* #,##0.00_);_([$$-409]* \(#,##0.00\);_([$$-409]* &quot;-&quot;??_);_(@_)"/>
    <numFmt numFmtId="166" formatCode="&quot;$&quot;#,##0\ ;\(&quot;$&quot;#,##0.0\)"/>
    <numFmt numFmtId="167" formatCode="_(* #,##0_);_(* \(#,##0\);_(* &quot;-&quot;??_);_(@_)"/>
    <numFmt numFmtId="168" formatCode="0.0%"/>
    <numFmt numFmtId="169" formatCode="_ * #,##0_ ;_ * \-#,##0_ ;_ * &quot;-&quot;??_ ;_ @_ "/>
    <numFmt numFmtId="170" formatCode="_-* #,##0.000000_-;\-* #,##0.000000_-;_-* &quot;-&quot;_-;_-@_-"/>
    <numFmt numFmtId="171" formatCode="0.000"/>
    <numFmt numFmtId="172" formatCode="0.0"/>
    <numFmt numFmtId="173" formatCode="#,##0.00_ ;[Red]\-#,##0.00\ "/>
    <numFmt numFmtId="174" formatCode="#,##0_ ;[Red]\-#,##0\ "/>
    <numFmt numFmtId="175" formatCode="&quot;$&quot;#,##0.00_);[Red]\(&quot;$&quot;#,##0.00\)"/>
    <numFmt numFmtId="176" formatCode="&quot;$&quot;#,##0.00_);\(&quot;$&quot;#,##0.00\)"/>
    <numFmt numFmtId="177" formatCode="_(* #,##0.0_);_(* \(#,##0.0\);_(* &quot;-&quot;??_);_(@_)"/>
    <numFmt numFmtId="178" formatCode="0.000000%"/>
    <numFmt numFmtId="179" formatCode="_-[$€-410]\ * #,##0_-;\-[$€-410]\ * #,##0_-;_-[$€-410]\ * &quot;-&quot;??_-;_-@_-"/>
    <numFmt numFmtId="180" formatCode="_(&quot;$&quot;* #,##0.00_);_(&quot;$&quot;* \(#,##0.00\);_(&quot;$&quot;* &quot;-&quot;??_);_(@_)"/>
    <numFmt numFmtId="181" formatCode="0.0\ \ "/>
    <numFmt numFmtId="182" formatCode="0.0\ \ \ \ "/>
    <numFmt numFmtId="183" formatCode="0.0\ "/>
    <numFmt numFmtId="184" formatCode="###0"/>
    <numFmt numFmtId="185" formatCode="#,##0;\(#,##0\)"/>
    <numFmt numFmtId="186" formatCode="#,##0.0_);\(#,##0.0\)"/>
    <numFmt numFmtId="187" formatCode="#,##0;\(#,##0\);\-"/>
    <numFmt numFmtId="188" formatCode=";;;"/>
    <numFmt numFmtId="189" formatCode="mmmddyyyy"/>
    <numFmt numFmtId="190" formatCode="#,##0.000_-;\(#,##0.000\);&quot;OK&quot;"/>
    <numFmt numFmtId="191" formatCode="#,##0.000_-;\(#,##0.000\);\-"/>
    <numFmt numFmtId="192" formatCode="0.0%;\(0.0\)%"/>
    <numFmt numFmtId="193" formatCode="0.0&quot; x&quot;;\(0.0&quot;)x&quot;;\-"/>
    <numFmt numFmtId="194" formatCode="#,##0_-;\(#,##0\);&quot;&quot;"/>
    <numFmt numFmtId="195" formatCode="#,##0.0&quot; p&quot;;\(#,##0.0&quot;)p&quot;;_-* \-_-"/>
    <numFmt numFmtId="196" formatCode="0.0\ %;\(0.0\)%;&quot;&quot;"/>
    <numFmt numFmtId="197" formatCode="hh:mm:ss\ AM/PM_)"/>
    <numFmt numFmtId="198" formatCode="#,##0.0000_);\(#,##0.0000\);_(\-_)"/>
    <numFmt numFmtId="199" formatCode="0.0000"/>
    <numFmt numFmtId="200" formatCode="_(* #,##0.0_);_(* \(#,##0.0\);_(* \-??_);_(@_)"/>
    <numFmt numFmtId="201" formatCode="0.00000"/>
    <numFmt numFmtId="202" formatCode="_-\£* #,##0_-;&quot;-£&quot;* #,##0_-;_-\£* \-_-;_-@_-"/>
    <numFmt numFmtId="203" formatCode="_(\$* #,##0.0_);_(\$* \(#,##0.0\);_(\$* \-_);_(@_)"/>
    <numFmt numFmtId="204" formatCode="\$#,##0.00_);[Red]&quot;($&quot;#,##0.00\)"/>
    <numFmt numFmtId="205" formatCode="_-\£* #,##0.00_-;&quot;-£&quot;* #,##0.00_-;_-\£* \-??_-;_-@_-"/>
    <numFmt numFmtId="206" formatCode="\$#,##0_);[Red]&quot;($&quot;#,##0\)"/>
    <numFmt numFmtId="207" formatCode="_-&quot;ó &quot;* #,##0.00_-;&quot;-ó &quot;* #,##0.00_-;_-&quot;ó &quot;* \-??_-;_-@_-"/>
    <numFmt numFmtId="208" formatCode="_-* #,##0.0_-;\-* #,##0.0_-;_-* \-??_-;_-@_-"/>
    <numFmt numFmtId="209" formatCode="#,##0.00&quot; $&quot;;\-#,##0.00&quot; $&quot;"/>
    <numFmt numFmtId="210" formatCode="_-* #,##0_-;\-* #,##0_-;_-* \-_-;_-@_-"/>
    <numFmt numFmtId="211" formatCode="_-* #,##0.00_-;\-* #,##0.00_-;_-* \-??_-;_-@_-"/>
    <numFmt numFmtId="212" formatCode="0.00%;\(0.00%\)"/>
    <numFmt numFmtId="213" formatCode="_-* #,##0\ _P_t_s_-;\-* #,##0\ _P_t_s_-;_-* &quot;- &quot;_P_t_s_-;_-@_-"/>
    <numFmt numFmtId="214" formatCode="_-* #,##0.00\ _P_t_s_-;\-* #,##0.00\ _P_t_s_-;_-* \-??\ _P_t_s_-;_-@_-"/>
    <numFmt numFmtId="215" formatCode="_-* #,##0&quot; Pts&quot;_-;\-* #,##0&quot; Pts&quot;_-;_-* &quot;- Pts&quot;_-;_-@_-"/>
    <numFmt numFmtId="216" formatCode="_-* #,##0.00&quot; Pts&quot;_-;\-* #,##0.00&quot; Pts&quot;_-;_-* \-??&quot; Pts&quot;_-;_-@_-"/>
    <numFmt numFmtId="217" formatCode="0.00000%"/>
    <numFmt numFmtId="218" formatCode="_(* #,##0&quot; x&quot;_);_(* \(#,##0&quot; x)&quot;;_(* \-??_);_(@_)"/>
    <numFmt numFmtId="219" formatCode="_(* #,##0.0&quot; x&quot;_);_(* \(#,##0.0&quot; x)&quot;;_(* \-??_);_(@_)"/>
    <numFmt numFmtId="220" formatCode="_(* #,##0.00&quot; x&quot;_);_(* \(#,##0.00&quot; x)&quot;;_(* \-??_);_(@_)"/>
    <numFmt numFmtId="221" formatCode="_(* #,##0.0_);[Red]\(* #,##0.0\);_(* \-_);_(@_)"/>
    <numFmt numFmtId="222" formatCode="General_)"/>
    <numFmt numFmtId="223" formatCode="\$#,##0.00_);&quot;($&quot;#,##0.00\)"/>
    <numFmt numFmtId="224" formatCode="\$#,##0_);&quot;($&quot;#,##0\)"/>
    <numFmt numFmtId="225" formatCode="#,##0.000_);[Red]\(#,##0.000\)"/>
    <numFmt numFmtId="226" formatCode="_(\£* #,##0_);_(\£* \(#,##0\);_(\£* \-_);_(@_)"/>
    <numFmt numFmtId="227" formatCode="_(\£* #,##0.0_);_(\£* \(#,##0.0\);_(\£* \-_);_(@_)"/>
    <numFmt numFmtId="228" formatCode="_(\£* #,##0.00_);_(\£* \(#,##0.00\);_(\£* \-_);_(@_)"/>
    <numFmt numFmtId="229" formatCode="_(* #,##0.00\p_);_(* \(#,##0.00&quot;p)&quot;;_(* &quot;- p&quot;_);_(@_)"/>
    <numFmt numFmtId="230" formatCode="_(* #,##0\p_);_(* \(#,##0&quot;p)&quot;;_(* &quot;- p&quot;_);_(@_)"/>
    <numFmt numFmtId="231" formatCode="\£#,##0.00"/>
    <numFmt numFmtId="232" formatCode="#,##0&quot;     &quot;"/>
    <numFmt numFmtId="233" formatCode="#,##0\ \ \ \ \ "/>
    <numFmt numFmtId="234" formatCode="#,##0\ \ \ \ "/>
    <numFmt numFmtId="235" formatCode="#,##0.0_ ;[Red]\-#,##0.0\ "/>
    <numFmt numFmtId="236" formatCode="#,##0.0000"/>
    <numFmt numFmtId="237" formatCode="_-[$$-409]* #,##0.00_ ;_-[$$-409]* \-#,##0.00\ ;_-[$$-409]* &quot;-&quot;??_ ;_-@_ "/>
    <numFmt numFmtId="238" formatCode="_-[$€-410]\ * #,##0.00_-;\-[$€-410]\ * #,##0.00_-;_-[$€-410]\ * &quot;-&quot;??_-;_-@_-"/>
  </numFmts>
  <fonts count="279">
    <font>
      <sz val="10"/>
      <name val="Arial"/>
    </font>
    <font>
      <sz val="12"/>
      <color theme="1"/>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0"/>
      <name val="Arial"/>
    </font>
    <font>
      <b/>
      <sz val="10"/>
      <name val="Times New Roman"/>
      <family val="1"/>
    </font>
    <font>
      <sz val="10"/>
      <name val="Times New Roman"/>
      <family val="1"/>
    </font>
    <font>
      <b/>
      <sz val="9"/>
      <color indexed="81"/>
      <name val="Tahoma"/>
      <family val="2"/>
    </font>
    <font>
      <sz val="10"/>
      <name val="Arial"/>
    </font>
    <font>
      <b/>
      <sz val="11"/>
      <color indexed="8"/>
      <name val="Calibri"/>
      <family val="1"/>
    </font>
    <font>
      <sz val="10"/>
      <name val="Calibri"/>
      <family val="2"/>
    </font>
    <font>
      <b/>
      <sz val="14"/>
      <color indexed="8"/>
      <name val="Calibri"/>
      <family val="1"/>
    </font>
    <font>
      <b/>
      <sz val="12"/>
      <color indexed="9"/>
      <name val="Calibri"/>
      <family val="2"/>
    </font>
    <font>
      <b/>
      <sz val="11"/>
      <color indexed="9"/>
      <name val="Calibri"/>
      <family val="2"/>
    </font>
    <font>
      <b/>
      <sz val="11"/>
      <color indexed="8"/>
      <name val="Calibri"/>
      <family val="1"/>
    </font>
    <font>
      <b/>
      <sz val="11"/>
      <name val="Calibri"/>
      <family val="2"/>
    </font>
    <font>
      <sz val="11"/>
      <name val="Arial"/>
      <family val="2"/>
    </font>
    <font>
      <sz val="11"/>
      <color indexed="8"/>
      <name val="Calibri"/>
      <family val="2"/>
    </font>
    <font>
      <sz val="10"/>
      <name val="Arial"/>
    </font>
    <font>
      <b/>
      <sz val="10"/>
      <name val="Arial"/>
      <family val="2"/>
    </font>
    <font>
      <b/>
      <sz val="10"/>
      <color indexed="9"/>
      <name val="Arial"/>
      <family val="2"/>
    </font>
    <font>
      <sz val="10"/>
      <name val="Calibri"/>
      <family val="2"/>
    </font>
    <font>
      <b/>
      <sz val="10"/>
      <color indexed="9"/>
      <name val="Arial"/>
      <family val="2"/>
    </font>
    <font>
      <b/>
      <sz val="10"/>
      <color indexed="16"/>
      <name val="Arial"/>
      <family val="2"/>
    </font>
    <font>
      <sz val="10"/>
      <name val="Verdana"/>
      <family val="2"/>
    </font>
    <font>
      <b/>
      <sz val="10"/>
      <name val="Verdana"/>
      <family val="2"/>
    </font>
    <font>
      <u/>
      <sz val="10"/>
      <color indexed="12"/>
      <name val="Arial"/>
      <family val="2"/>
    </font>
    <font>
      <b/>
      <sz val="12"/>
      <name val="Verdana"/>
      <family val="2"/>
    </font>
    <font>
      <b/>
      <sz val="12"/>
      <name val="Arial"/>
      <family val="2"/>
    </font>
    <font>
      <sz val="9"/>
      <name val="Arial"/>
      <family val="2"/>
    </font>
    <font>
      <sz val="9"/>
      <name val="Arial"/>
      <family val="2"/>
    </font>
    <font>
      <b/>
      <sz val="9"/>
      <color indexed="9"/>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b/>
      <i/>
      <sz val="10"/>
      <name val="Arial"/>
      <family val="2"/>
    </font>
    <font>
      <sz val="12"/>
      <name val="Times New Roman"/>
      <family val="1"/>
    </font>
    <font>
      <b/>
      <sz val="12"/>
      <name val="Times New Roman"/>
      <family val="1"/>
    </font>
    <font>
      <i/>
      <sz val="10"/>
      <name val="Arial"/>
      <family val="2"/>
    </font>
    <font>
      <sz val="12"/>
      <name val="Arial"/>
      <family val="2"/>
    </font>
    <font>
      <b/>
      <i/>
      <sz val="12"/>
      <color indexed="10"/>
      <name val="Arial"/>
      <family val="2"/>
    </font>
    <font>
      <i/>
      <u/>
      <sz val="10"/>
      <name val="Arial"/>
      <family val="2"/>
    </font>
    <font>
      <b/>
      <sz val="10"/>
      <name val="Calibri"/>
      <family val="2"/>
    </font>
    <font>
      <b/>
      <i/>
      <sz val="10"/>
      <name val="Calibri"/>
      <family val="2"/>
    </font>
    <font>
      <b/>
      <i/>
      <sz val="12"/>
      <name val="Arial"/>
      <family val="2"/>
    </font>
    <font>
      <b/>
      <sz val="14"/>
      <name val="Calibri"/>
      <family val="2"/>
    </font>
    <font>
      <b/>
      <u/>
      <sz val="14"/>
      <name val="Calibri"/>
      <family val="2"/>
    </font>
    <font>
      <b/>
      <i/>
      <u/>
      <sz val="14"/>
      <name val="Calibri"/>
      <family val="2"/>
    </font>
    <font>
      <sz val="12"/>
      <name val="Calibri"/>
    </font>
    <font>
      <sz val="12"/>
      <name val="Symbol"/>
      <family val="1"/>
    </font>
    <font>
      <sz val="7"/>
      <name val="Times New Roman"/>
      <family val="1"/>
    </font>
    <font>
      <i/>
      <sz val="12"/>
      <name val="Calibri"/>
      <family val="2"/>
    </font>
    <font>
      <b/>
      <i/>
      <sz val="14"/>
      <name val="Calibri"/>
      <family val="2"/>
    </font>
    <font>
      <b/>
      <i/>
      <u/>
      <sz val="12"/>
      <name val="Calibri"/>
      <family val="2"/>
    </font>
    <font>
      <b/>
      <i/>
      <sz val="12"/>
      <name val="Calibri"/>
      <family val="2"/>
    </font>
    <font>
      <b/>
      <u/>
      <sz val="12"/>
      <name val="Calibri"/>
      <family val="2"/>
    </font>
    <font>
      <i/>
      <sz val="16"/>
      <name val="Calibri"/>
      <family val="2"/>
    </font>
    <font>
      <vertAlign val="superscript"/>
      <sz val="12"/>
      <name val="Calibri"/>
      <family val="2"/>
    </font>
    <font>
      <i/>
      <sz val="11"/>
      <color indexed="8"/>
      <name val="Calibri"/>
      <family val="2"/>
    </font>
    <font>
      <sz val="9"/>
      <color indexed="81"/>
      <name val="Tahoma"/>
      <family val="2"/>
    </font>
    <font>
      <u/>
      <sz val="12"/>
      <name val="Calibri"/>
      <family val="2"/>
    </font>
    <font>
      <sz val="8"/>
      <name val="Arial"/>
      <family val="2"/>
    </font>
    <font>
      <u/>
      <sz val="10"/>
      <name val="Arial"/>
      <family val="2"/>
    </font>
    <font>
      <i/>
      <sz val="10"/>
      <name val="Calibri"/>
      <family val="2"/>
    </font>
    <font>
      <sz val="8"/>
      <name val="Calibri"/>
      <family val="2"/>
    </font>
    <font>
      <i/>
      <sz val="8"/>
      <name val="Arial"/>
      <family val="2"/>
    </font>
    <font>
      <b/>
      <sz val="12"/>
      <color indexed="10"/>
      <name val="Arial"/>
      <family val="2"/>
    </font>
    <font>
      <sz val="10"/>
      <color indexed="63"/>
      <name val="Inherit"/>
    </font>
    <font>
      <sz val="10"/>
      <color indexed="8"/>
      <name val="Arial"/>
      <family val="2"/>
    </font>
    <font>
      <i/>
      <sz val="11"/>
      <name val="Arial"/>
      <family val="2"/>
    </font>
    <font>
      <i/>
      <sz val="12"/>
      <name val="Arial"/>
      <family val="2"/>
    </font>
    <font>
      <b/>
      <i/>
      <sz val="14"/>
      <name val="Arial"/>
      <family val="2"/>
    </font>
    <font>
      <sz val="10"/>
      <color indexed="63"/>
      <name val="Arial"/>
      <family val="2"/>
    </font>
    <font>
      <b/>
      <u/>
      <sz val="10"/>
      <name val="Arial"/>
      <family val="2"/>
    </font>
    <font>
      <b/>
      <sz val="11"/>
      <color indexed="55"/>
      <name val="Calibri"/>
      <family val="2"/>
    </font>
    <font>
      <sz val="8"/>
      <color indexed="81"/>
      <name val="Tahoma"/>
      <family val="2"/>
    </font>
    <font>
      <b/>
      <sz val="8"/>
      <color indexed="81"/>
      <name val="Tahoma"/>
      <family val="2"/>
    </font>
    <font>
      <i/>
      <u/>
      <sz val="12"/>
      <name val="Calibri"/>
      <family val="2"/>
    </font>
    <font>
      <sz val="12"/>
      <name val="Calibri"/>
    </font>
    <font>
      <b/>
      <sz val="14"/>
      <color indexed="8"/>
      <name val="Calibri"/>
      <family val="1"/>
    </font>
    <font>
      <b/>
      <sz val="10"/>
      <name val="Calibri"/>
      <family val="2"/>
    </font>
    <font>
      <i/>
      <sz val="10"/>
      <name val="Calibri"/>
      <family val="2"/>
    </font>
    <font>
      <u/>
      <sz val="11"/>
      <color indexed="8"/>
      <name val="Calibri"/>
      <family val="1"/>
    </font>
    <font>
      <b/>
      <i/>
      <sz val="16"/>
      <color indexed="10"/>
      <name val="Arial"/>
      <family val="2"/>
    </font>
    <font>
      <sz val="10"/>
      <color indexed="81"/>
      <name val="Tahoma"/>
      <family val="2"/>
    </font>
    <font>
      <u/>
      <sz val="9"/>
      <color indexed="81"/>
      <name val="Tahoma"/>
      <family val="2"/>
    </font>
    <font>
      <b/>
      <sz val="8"/>
      <name val="Arial"/>
      <family val="2"/>
    </font>
    <font>
      <b/>
      <i/>
      <sz val="16"/>
      <name val="Arial"/>
      <family val="2"/>
    </font>
    <font>
      <b/>
      <sz val="11"/>
      <color indexed="8"/>
      <name val="Calibri"/>
      <family val="1"/>
    </font>
    <font>
      <sz val="14"/>
      <color indexed="8"/>
      <name val="Calibri"/>
      <family val="2"/>
    </font>
    <font>
      <b/>
      <sz val="12"/>
      <color indexed="8"/>
      <name val="Calibri"/>
      <family val="1"/>
    </font>
    <font>
      <b/>
      <sz val="18"/>
      <color indexed="10"/>
      <name val="Arial"/>
      <family val="2"/>
    </font>
    <font>
      <b/>
      <sz val="11"/>
      <name val="Arial"/>
      <family val="2"/>
    </font>
    <font>
      <b/>
      <sz val="11"/>
      <name val="Times New Roman"/>
      <family val="1"/>
    </font>
    <font>
      <b/>
      <sz val="14"/>
      <name val="Arial"/>
      <family val="2"/>
    </font>
    <font>
      <b/>
      <u/>
      <sz val="16"/>
      <name val="Arial"/>
      <family val="2"/>
    </font>
    <font>
      <b/>
      <i/>
      <sz val="8"/>
      <name val="Arial"/>
      <family val="2"/>
    </font>
    <font>
      <b/>
      <vertAlign val="superscript"/>
      <sz val="14"/>
      <name val="Arial"/>
      <family val="2"/>
    </font>
    <font>
      <b/>
      <vertAlign val="subscript"/>
      <sz val="10"/>
      <name val="Arial"/>
      <family val="2"/>
    </font>
    <font>
      <b/>
      <vertAlign val="subscript"/>
      <sz val="12"/>
      <name val="Arial"/>
      <family val="2"/>
    </font>
    <font>
      <b/>
      <vertAlign val="superscript"/>
      <sz val="12"/>
      <name val="Arial"/>
      <family val="2"/>
    </font>
    <font>
      <b/>
      <u/>
      <sz val="12"/>
      <name val="Arial"/>
      <family val="2"/>
    </font>
    <font>
      <b/>
      <u/>
      <vertAlign val="subscript"/>
      <sz val="12"/>
      <name val="Arial"/>
      <family val="2"/>
    </font>
    <font>
      <b/>
      <i/>
      <vertAlign val="subscript"/>
      <sz val="10"/>
      <name val="Arial"/>
      <family val="2"/>
    </font>
    <font>
      <b/>
      <i/>
      <u/>
      <sz val="10"/>
      <name val="Arial"/>
      <family val="2"/>
    </font>
    <font>
      <b/>
      <i/>
      <u/>
      <vertAlign val="subscript"/>
      <sz val="10"/>
      <name val="Arial"/>
      <family val="2"/>
    </font>
    <font>
      <i/>
      <u/>
      <sz val="9"/>
      <color indexed="81"/>
      <name val="Tahoma"/>
      <family val="2"/>
    </font>
    <font>
      <sz val="8"/>
      <name val="Arial"/>
      <family val="2"/>
    </font>
    <font>
      <b/>
      <sz val="22"/>
      <name val="Arial"/>
      <family val="2"/>
    </font>
    <font>
      <b/>
      <sz val="9"/>
      <name val="Arial"/>
      <family val="2"/>
    </font>
    <font>
      <b/>
      <sz val="9"/>
      <color indexed="12"/>
      <name val="Arial"/>
      <family val="2"/>
    </font>
    <font>
      <b/>
      <sz val="10"/>
      <color indexed="12"/>
      <name val="Arial"/>
      <family val="2"/>
    </font>
    <font>
      <sz val="7.5"/>
      <color indexed="12"/>
      <name val="Arial"/>
      <family val="2"/>
    </font>
    <font>
      <sz val="7.5"/>
      <name val="Arial"/>
      <family val="2"/>
    </font>
    <font>
      <sz val="7.5"/>
      <color indexed="8"/>
      <name val="Arial"/>
      <family val="2"/>
    </font>
    <font>
      <i/>
      <sz val="10"/>
      <color indexed="10"/>
      <name val="Arial"/>
      <family val="2"/>
    </font>
    <font>
      <sz val="12"/>
      <color indexed="63"/>
      <name val="Arial"/>
      <family val="2"/>
    </font>
    <font>
      <b/>
      <sz val="11"/>
      <name val="Verdana"/>
      <family val="2"/>
    </font>
    <font>
      <b/>
      <sz val="11"/>
      <color indexed="10"/>
      <name val="Verdana"/>
      <family val="2"/>
    </font>
    <font>
      <sz val="10"/>
      <color indexed="10"/>
      <name val="Arial"/>
      <family val="2"/>
    </font>
    <font>
      <b/>
      <sz val="9"/>
      <color indexed="81"/>
      <name val="Times"/>
    </font>
    <font>
      <sz val="9"/>
      <color indexed="81"/>
      <name val="Times"/>
    </font>
    <font>
      <b/>
      <sz val="10"/>
      <color indexed="9"/>
      <name val="Arial"/>
      <family val="2"/>
    </font>
    <font>
      <sz val="18"/>
      <name val="Arial"/>
      <family val="2"/>
    </font>
    <font>
      <b/>
      <i/>
      <sz val="18"/>
      <name val="Arial"/>
      <family val="2"/>
    </font>
    <font>
      <sz val="14"/>
      <name val="Arial"/>
      <family val="2"/>
    </font>
    <font>
      <i/>
      <sz val="14"/>
      <name val="Arial"/>
      <family val="2"/>
    </font>
    <font>
      <sz val="10"/>
      <color indexed="10"/>
      <name val="Arial"/>
      <family val="2"/>
    </font>
    <font>
      <b/>
      <sz val="10"/>
      <color indexed="62"/>
      <name val="Arial"/>
      <family val="2"/>
    </font>
    <font>
      <sz val="10"/>
      <name val="Arial"/>
    </font>
    <font>
      <sz val="11"/>
      <color indexed="17"/>
      <name val="Calibri"/>
      <family val="2"/>
    </font>
    <font>
      <sz val="11"/>
      <color indexed="60"/>
      <name val="Calibri"/>
      <family val="2"/>
    </font>
    <font>
      <sz val="8"/>
      <name val="Arial"/>
      <family val="2"/>
    </font>
    <font>
      <sz val="9"/>
      <name val="Geneva"/>
    </font>
    <font>
      <sz val="12"/>
      <color indexed="8"/>
      <name val="Calibri"/>
      <family val="2"/>
    </font>
    <font>
      <sz val="9"/>
      <name val="Times New Roman"/>
      <family val="1"/>
    </font>
    <font>
      <i/>
      <sz val="8"/>
      <name val="Times"/>
    </font>
    <font>
      <b/>
      <sz val="8"/>
      <name val="Times"/>
    </font>
    <font>
      <sz val="9"/>
      <name val="Times"/>
      <family val="1"/>
    </font>
    <font>
      <sz val="7"/>
      <name val="Arial"/>
      <family val="2"/>
    </font>
    <font>
      <sz val="7"/>
      <name val="Helvetica"/>
      <family val="2"/>
    </font>
    <font>
      <sz val="9"/>
      <name val="Helvetica"/>
      <family val="2"/>
    </font>
    <font>
      <vertAlign val="superscript"/>
      <sz val="8"/>
      <name val="Arial"/>
      <family val="2"/>
    </font>
    <font>
      <sz val="8"/>
      <name val="Times"/>
      <family val="1"/>
    </font>
    <font>
      <sz val="8"/>
      <name val="Helvetica"/>
      <family val="2"/>
    </font>
    <font>
      <i/>
      <sz val="7"/>
      <name val="Arial"/>
      <family val="2"/>
    </font>
    <font>
      <sz val="7"/>
      <name val="Times"/>
      <family val="1"/>
    </font>
    <font>
      <b/>
      <sz val="8"/>
      <name val="Calibri"/>
      <family val="2"/>
    </font>
    <font>
      <sz val="8"/>
      <name val="Geneva"/>
    </font>
    <font>
      <sz val="10"/>
      <name val="Geneva"/>
    </font>
    <font>
      <i/>
      <sz val="8"/>
      <name val="Calibri"/>
      <family val="2"/>
    </font>
    <font>
      <i/>
      <sz val="9"/>
      <name val="Geneva"/>
    </font>
    <font>
      <b/>
      <i/>
      <sz val="8"/>
      <name val="Times New Roman"/>
      <family val="1"/>
    </font>
    <font>
      <b/>
      <i/>
      <sz val="8"/>
      <name val="Calibri"/>
      <family val="2"/>
    </font>
    <font>
      <b/>
      <i/>
      <sz val="9"/>
      <name val="Geneva"/>
    </font>
    <font>
      <sz val="8"/>
      <name val="Times New Roman"/>
      <family val="1"/>
    </font>
    <font>
      <sz val="9"/>
      <name val="Calibri"/>
      <family val="2"/>
    </font>
    <font>
      <sz val="9"/>
      <color indexed="8"/>
      <name val="Times New Roman"/>
      <family val="1"/>
    </font>
    <font>
      <sz val="9"/>
      <name val="Arial"/>
      <family val="2"/>
    </font>
    <font>
      <sz val="9"/>
      <color indexed="10"/>
      <name val="Arial"/>
    </font>
    <font>
      <b/>
      <sz val="9"/>
      <color indexed="8"/>
      <name val="Times New Roman"/>
      <family val="1"/>
    </font>
    <font>
      <sz val="12"/>
      <name val="???"/>
      <family val="1"/>
    </font>
    <font>
      <b/>
      <sz val="22"/>
      <color indexed="18"/>
      <name val="Arial"/>
      <family val="2"/>
    </font>
    <font>
      <b/>
      <sz val="10"/>
      <color indexed="18"/>
      <name val="Arial"/>
      <family val="2"/>
    </font>
    <font>
      <b/>
      <u/>
      <sz val="10"/>
      <color indexed="18"/>
      <name val="Arial"/>
      <family val="2"/>
    </font>
    <font>
      <sz val="10"/>
      <name val="Palatino"/>
      <family val="1"/>
    </font>
    <font>
      <sz val="11"/>
      <color indexed="8"/>
      <name val="Agency FB"/>
      <family val="2"/>
    </font>
    <font>
      <sz val="12"/>
      <color indexed="12"/>
      <name val="Times New Roman"/>
      <family val="1"/>
    </font>
    <font>
      <sz val="12"/>
      <color indexed="8"/>
      <name val="Times New Roman"/>
      <family val="1"/>
    </font>
    <font>
      <sz val="10"/>
      <color indexed="12"/>
      <name val="Arial"/>
      <family val="2"/>
    </font>
    <font>
      <b/>
      <sz val="11"/>
      <color indexed="52"/>
      <name val="Agency FB"/>
      <family val="2"/>
    </font>
    <font>
      <sz val="10"/>
      <name val="MS Sans Serif"/>
      <family val="2"/>
    </font>
    <font>
      <sz val="10"/>
      <name val="MS Serif"/>
      <family val="1"/>
    </font>
    <font>
      <sz val="10"/>
      <name val="Book Antiqua"/>
      <family val="1"/>
    </font>
    <font>
      <sz val="11"/>
      <name val="??"/>
      <family val="3"/>
    </font>
    <font>
      <sz val="10"/>
      <color indexed="37"/>
      <name val="MS Serif"/>
      <family val="1"/>
    </font>
    <font>
      <sz val="18"/>
      <color indexed="24"/>
      <name val="Arial"/>
      <family val="2"/>
    </font>
    <font>
      <sz val="8"/>
      <color indexed="24"/>
      <name val="Arial"/>
      <family val="2"/>
    </font>
    <font>
      <i/>
      <sz val="12"/>
      <color indexed="24"/>
      <name val="Arial"/>
      <family val="2"/>
    </font>
    <font>
      <sz val="12"/>
      <color indexed="24"/>
      <name val="Times New Roman"/>
      <family val="1"/>
    </font>
    <font>
      <sz val="18"/>
      <color indexed="24"/>
      <name val="Times New Roman"/>
      <family val="1"/>
    </font>
    <font>
      <sz val="8"/>
      <color indexed="24"/>
      <name val="Times New Roman"/>
      <family val="1"/>
    </font>
    <font>
      <i/>
      <sz val="12"/>
      <color indexed="24"/>
      <name val="Times New Roman"/>
      <family val="1"/>
    </font>
    <font>
      <u/>
      <sz val="10"/>
      <color indexed="14"/>
      <name val="MS Sans Serif"/>
      <family val="2"/>
    </font>
    <font>
      <b/>
      <u/>
      <sz val="11"/>
      <color indexed="16"/>
      <name val="Arial"/>
      <family val="2"/>
    </font>
    <font>
      <u/>
      <sz val="10"/>
      <color indexed="12"/>
      <name val="MS Sans Serif"/>
      <family val="2"/>
    </font>
    <font>
      <sz val="10"/>
      <color indexed="10"/>
      <name val="Times New Roman"/>
      <family val="1"/>
    </font>
    <font>
      <sz val="11"/>
      <color indexed="62"/>
      <name val="Agency FB"/>
      <family val="2"/>
    </font>
    <font>
      <sz val="10"/>
      <name val="Courier New"/>
      <family val="3"/>
    </font>
    <font>
      <sz val="7"/>
      <name val="Small Fonts"/>
      <family val="2"/>
    </font>
    <font>
      <sz val="12"/>
      <color indexed="14"/>
      <name val="Calibri"/>
      <family val="2"/>
    </font>
    <font>
      <sz val="10"/>
      <name val="Trebuchet MS"/>
      <family val="2"/>
    </font>
    <font>
      <sz val="14"/>
      <color indexed="8"/>
      <name val="Times New Roman"/>
      <family val="2"/>
    </font>
    <font>
      <sz val="9"/>
      <name val="Trebuchet MS"/>
      <family val="2"/>
    </font>
    <font>
      <sz val="22"/>
      <name val="UBSHeadline"/>
      <family val="1"/>
    </font>
    <font>
      <b/>
      <sz val="10"/>
      <name val="MS Sans Serif"/>
      <family val="2"/>
    </font>
    <font>
      <sz val="10"/>
      <name val="Baskerville MT"/>
    </font>
    <font>
      <b/>
      <sz val="18"/>
      <name val="Times New Roman"/>
      <family val="1"/>
    </font>
    <font>
      <b/>
      <sz val="9"/>
      <name val="Palatino"/>
      <family val="1"/>
    </font>
    <font>
      <sz val="9"/>
      <name val="Helvetica-Black"/>
    </font>
    <font>
      <sz val="7"/>
      <name val="Palatino"/>
      <family val="1"/>
    </font>
    <font>
      <i/>
      <sz val="14"/>
      <name val="Times New Roman"/>
      <family val="1"/>
    </font>
    <font>
      <sz val="10"/>
      <name val="Frutiger 45 Light"/>
      <family val="2"/>
    </font>
    <font>
      <sz val="24"/>
      <color indexed="34"/>
      <name val="Arial"/>
      <family val="2"/>
    </font>
    <font>
      <sz val="8"/>
      <color indexed="12"/>
      <name val="Arial"/>
      <family val="2"/>
    </font>
    <font>
      <sz val="12"/>
      <color indexed="17"/>
      <name val="Calibri"/>
      <family val="2"/>
    </font>
    <font>
      <b/>
      <sz val="9"/>
      <name val="Times New Roman"/>
      <family val="1"/>
    </font>
    <font>
      <sz val="9"/>
      <color indexed="10"/>
      <name val="Times New Roman"/>
      <family val="1"/>
    </font>
    <font>
      <sz val="10"/>
      <name val="Courier"/>
      <family val="3"/>
    </font>
    <font>
      <sz val="10"/>
      <color indexed="8"/>
      <name val="Calibri"/>
      <family val="2"/>
    </font>
    <font>
      <sz val="11"/>
      <color indexed="10"/>
      <name val="Calibri"/>
      <family val="2"/>
    </font>
    <font>
      <sz val="11"/>
      <name val="Times New Roman"/>
    </font>
    <font>
      <b/>
      <sz val="12"/>
      <color indexed="10"/>
      <name val="Times New Roman"/>
      <family val="1"/>
    </font>
    <font>
      <sz val="8"/>
      <name val="Arial"/>
      <family val="2"/>
    </font>
    <font>
      <b/>
      <sz val="18"/>
      <color indexed="10"/>
      <name val="Verdana"/>
      <family val="2"/>
    </font>
    <font>
      <sz val="12"/>
      <name val="Arial"/>
      <family val="2"/>
    </font>
    <font>
      <sz val="11"/>
      <name val="Calibri"/>
      <family val="2"/>
    </font>
    <font>
      <u/>
      <sz val="11"/>
      <color indexed="12"/>
      <name val="Arial"/>
      <family val="2"/>
    </font>
    <font>
      <b/>
      <sz val="10"/>
      <color indexed="8"/>
      <name val="Arial"/>
      <family val="2"/>
    </font>
    <font>
      <b/>
      <sz val="12"/>
      <color indexed="8"/>
      <name val="Arial"/>
    </font>
    <font>
      <b/>
      <sz val="14"/>
      <color indexed="8"/>
      <name val="Arial"/>
    </font>
    <font>
      <sz val="12"/>
      <color indexed="8"/>
      <name val="Arial"/>
    </font>
    <font>
      <sz val="10"/>
      <color indexed="8"/>
      <name val="Arial"/>
      <family val="2"/>
    </font>
    <font>
      <b/>
      <sz val="10"/>
      <color indexed="8"/>
      <name val="Calibri"/>
      <family val="2"/>
    </font>
    <font>
      <sz val="11"/>
      <color indexed="8"/>
      <name val="Calibri"/>
      <family val="2"/>
    </font>
    <font>
      <b/>
      <sz val="11"/>
      <color indexed="8"/>
      <name val="Calibri"/>
      <family val="1"/>
    </font>
    <font>
      <b/>
      <i/>
      <sz val="10"/>
      <color indexed="8"/>
      <name val="Arial"/>
      <family val="2"/>
    </font>
    <font>
      <sz val="10"/>
      <color indexed="10"/>
      <name val="Arial"/>
      <family val="2"/>
    </font>
    <font>
      <b/>
      <sz val="10"/>
      <color indexed="10"/>
      <name val="Arial"/>
      <family val="2"/>
    </font>
    <font>
      <b/>
      <sz val="10"/>
      <color indexed="12"/>
      <name val="Arial"/>
      <family val="2"/>
    </font>
    <font>
      <b/>
      <sz val="10"/>
      <color indexed="17"/>
      <name val="Arial"/>
      <family val="2"/>
    </font>
    <font>
      <b/>
      <sz val="10"/>
      <color indexed="9"/>
      <name val="Arial"/>
      <family val="2"/>
    </font>
    <font>
      <b/>
      <sz val="10"/>
      <color indexed="16"/>
      <name val="Arial"/>
      <family val="2"/>
    </font>
    <font>
      <b/>
      <sz val="18"/>
      <color indexed="8"/>
      <name val="Calibri"/>
      <family val="1"/>
    </font>
    <font>
      <sz val="8"/>
      <name val="Arial"/>
      <family val="2"/>
    </font>
    <font>
      <b/>
      <sz val="11"/>
      <color indexed="10"/>
      <name val="Arial"/>
    </font>
    <font>
      <sz val="18"/>
      <name val="Verdana"/>
    </font>
    <font>
      <b/>
      <sz val="16"/>
      <name val="Verdana"/>
    </font>
    <font>
      <b/>
      <u/>
      <sz val="11"/>
      <color indexed="10"/>
      <name val="Calibri"/>
      <family val="2"/>
    </font>
    <font>
      <sz val="10"/>
      <name val="Arial"/>
    </font>
    <font>
      <sz val="10"/>
      <color theme="1"/>
      <name val="Calibri"/>
      <family val="2"/>
      <scheme val="minor"/>
    </font>
    <font>
      <b/>
      <sz val="13"/>
      <color theme="3"/>
      <name val="Calibri"/>
      <family val="2"/>
      <scheme val="minor"/>
    </font>
    <font>
      <b/>
      <sz val="11"/>
      <color theme="1"/>
      <name val="Calibri"/>
      <family val="2"/>
      <scheme val="minor"/>
    </font>
    <font>
      <b/>
      <sz val="12"/>
      <name val="Calibri"/>
    </font>
    <font>
      <u/>
      <sz val="12"/>
      <color indexed="12"/>
      <name val="Calibri"/>
    </font>
    <font>
      <sz val="11"/>
      <color theme="1"/>
      <name val="Calibri"/>
      <family val="2"/>
      <scheme val="minor"/>
    </font>
    <font>
      <sz val="10"/>
      <name val="Calibri"/>
      <scheme val="minor"/>
    </font>
    <font>
      <sz val="10"/>
      <color rgb="FFFF0000"/>
      <name val="Calibri"/>
      <scheme val="minor"/>
    </font>
    <font>
      <b/>
      <sz val="10"/>
      <color theme="1"/>
      <name val="Calibri"/>
      <scheme val="minor"/>
    </font>
    <font>
      <b/>
      <i/>
      <sz val="10"/>
      <color theme="1"/>
      <name val="Calibri"/>
      <scheme val="minor"/>
    </font>
    <font>
      <i/>
      <sz val="10"/>
      <color theme="1"/>
      <name val="Calibri"/>
      <scheme val="minor"/>
    </font>
    <font>
      <i/>
      <sz val="10"/>
      <name val="Calibri"/>
      <scheme val="minor"/>
    </font>
    <font>
      <b/>
      <i/>
      <sz val="10"/>
      <name val="Calibri"/>
      <scheme val="minor"/>
    </font>
    <font>
      <b/>
      <i/>
      <sz val="10"/>
      <color theme="3"/>
      <name val="Calibri"/>
      <scheme val="minor"/>
    </font>
    <font>
      <sz val="10"/>
      <name val="Calibri (Corpo)"/>
    </font>
    <font>
      <b/>
      <sz val="10"/>
      <color rgb="FFFF0000"/>
      <name val="Calibri"/>
      <scheme val="minor"/>
    </font>
    <font>
      <b/>
      <i/>
      <sz val="10"/>
      <color theme="1"/>
      <name val="Calibri"/>
    </font>
    <font>
      <sz val="10"/>
      <color theme="1"/>
      <name val="Calibri"/>
    </font>
    <font>
      <sz val="9"/>
      <color indexed="81"/>
      <name val="Calibri"/>
      <family val="2"/>
    </font>
    <font>
      <i/>
      <sz val="9"/>
      <color indexed="81"/>
      <name val="Calibri"/>
    </font>
    <font>
      <sz val="11"/>
      <color rgb="FFFF0000"/>
      <name val="Calibri"/>
    </font>
    <font>
      <sz val="9"/>
      <color indexed="81"/>
      <name val="Arial"/>
    </font>
    <font>
      <sz val="11"/>
      <name val="Calibri"/>
      <scheme val="minor"/>
    </font>
    <font>
      <b/>
      <sz val="12"/>
      <color theme="1"/>
      <name val="Calibri"/>
      <family val="2"/>
      <scheme val="minor"/>
    </font>
    <font>
      <u/>
      <sz val="10"/>
      <color theme="11"/>
      <name val="Arial"/>
    </font>
    <font>
      <b/>
      <sz val="14"/>
      <color rgb="FF000000"/>
      <name val="Calibri"/>
    </font>
    <font>
      <b/>
      <sz val="16"/>
      <color indexed="8"/>
      <name val="Calibri"/>
    </font>
    <font>
      <b/>
      <sz val="12"/>
      <name val="Calibri"/>
      <scheme val="minor"/>
    </font>
    <font>
      <sz val="12"/>
      <color rgb="FF0083B6"/>
      <name val="Arial"/>
      <family val="2"/>
    </font>
    <font>
      <u/>
      <sz val="12"/>
      <color theme="10"/>
      <name val="Calibri"/>
      <family val="2"/>
      <scheme val="minor"/>
    </font>
    <font>
      <u/>
      <sz val="12"/>
      <color theme="0"/>
      <name val="Calibri"/>
      <scheme val="minor"/>
    </font>
    <font>
      <b/>
      <sz val="12"/>
      <color rgb="FFFF6600"/>
      <name val="Calibri"/>
    </font>
  </fonts>
  <fills count="57">
    <fill>
      <patternFill patternType="none"/>
    </fill>
    <fill>
      <patternFill patternType="gray125"/>
    </fill>
    <fill>
      <patternFill patternType="solid">
        <fgColor indexed="31"/>
        <bgColor indexed="47"/>
      </patternFill>
    </fill>
    <fill>
      <patternFill patternType="solid">
        <fgColor indexed="42"/>
        <bgColor indexed="27"/>
      </patternFill>
    </fill>
    <fill>
      <patternFill patternType="solid">
        <fgColor indexed="22"/>
        <bgColor indexed="47"/>
      </patternFill>
    </fill>
    <fill>
      <patternFill patternType="solid">
        <fgColor indexed="26"/>
        <bgColor indexed="9"/>
      </patternFill>
    </fill>
    <fill>
      <patternFill patternType="solid">
        <fgColor indexed="43"/>
        <bgColor indexed="26"/>
      </patternFill>
    </fill>
    <fill>
      <patternFill patternType="solid">
        <fgColor indexed="44"/>
        <bgColor indexed="47"/>
      </patternFill>
    </fill>
    <fill>
      <patternFill patternType="solid">
        <fgColor indexed="18"/>
        <bgColor indexed="32"/>
      </patternFill>
    </fill>
    <fill>
      <patternFill patternType="solid">
        <fgColor indexed="47"/>
        <bgColor indexed="31"/>
      </patternFill>
    </fill>
    <fill>
      <patternFill patternType="solid">
        <fgColor indexed="34"/>
        <bgColor indexed="13"/>
      </patternFill>
    </fill>
    <fill>
      <patternFill patternType="solid">
        <fgColor indexed="45"/>
        <bgColor indexed="29"/>
      </patternFill>
    </fill>
    <fill>
      <patternFill patternType="solid">
        <fgColor indexed="12"/>
        <bgColor indexed="39"/>
      </patternFill>
    </fill>
    <fill>
      <patternFill patternType="solid">
        <fgColor indexed="27"/>
        <bgColor indexed="64"/>
      </patternFill>
    </fill>
    <fill>
      <patternFill patternType="solid">
        <fgColor indexed="62"/>
        <bgColor indexed="64"/>
      </patternFill>
    </fill>
    <fill>
      <patternFill patternType="solid">
        <fgColor indexed="44"/>
        <bgColor indexed="64"/>
      </patternFill>
    </fill>
    <fill>
      <patternFill patternType="solid">
        <fgColor indexed="31"/>
        <bgColor indexed="64"/>
      </patternFill>
    </fill>
    <fill>
      <patternFill patternType="solid">
        <fgColor indexed="43"/>
        <bgColor indexed="64"/>
      </patternFill>
    </fill>
    <fill>
      <patternFill patternType="solid">
        <fgColor indexed="46"/>
        <bgColor indexed="64"/>
      </patternFill>
    </fill>
    <fill>
      <patternFill patternType="solid">
        <fgColor indexed="30"/>
        <bgColor indexed="64"/>
      </patternFill>
    </fill>
    <fill>
      <patternFill patternType="solid">
        <fgColor indexed="29"/>
        <bgColor indexed="64"/>
      </patternFill>
    </fill>
    <fill>
      <patternFill patternType="solid">
        <fgColor indexed="9"/>
        <bgColor indexed="64"/>
      </patternFill>
    </fill>
    <fill>
      <patternFill patternType="solid">
        <fgColor indexed="16"/>
        <bgColor indexed="64"/>
      </patternFill>
    </fill>
    <fill>
      <patternFill patternType="solid">
        <fgColor indexed="11"/>
        <bgColor indexed="64"/>
      </patternFill>
    </fill>
    <fill>
      <patternFill patternType="solid">
        <fgColor indexed="5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0"/>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19"/>
        <bgColor indexed="64"/>
      </patternFill>
    </fill>
    <fill>
      <patternFill patternType="solid">
        <fgColor indexed="45"/>
        <bgColor indexed="64"/>
      </patternFill>
    </fill>
    <fill>
      <patternFill patternType="solid">
        <fgColor indexed="49"/>
        <bgColor indexed="64"/>
      </patternFill>
    </fill>
    <fill>
      <patternFill patternType="solid">
        <fgColor indexed="56"/>
        <bgColor indexed="64"/>
      </patternFill>
    </fill>
    <fill>
      <patternFill patternType="solid">
        <fgColor indexed="17"/>
        <bgColor indexed="64"/>
      </patternFill>
    </fill>
    <fill>
      <patternFill patternType="solid">
        <fgColor indexed="12"/>
        <bgColor indexed="8"/>
      </patternFill>
    </fill>
    <fill>
      <patternFill patternType="solid">
        <fgColor indexed="17"/>
        <bgColor indexed="8"/>
      </patternFill>
    </fill>
    <fill>
      <patternFill patternType="solid">
        <fgColor indexed="10"/>
        <bgColor indexed="8"/>
      </patternFill>
    </fill>
    <fill>
      <patternFill patternType="solid">
        <fgColor indexed="34"/>
        <bgColor indexed="64"/>
      </patternFill>
    </fill>
    <fill>
      <patternFill patternType="solid">
        <fgColor indexed="44"/>
        <bgColor indexed="8"/>
      </patternFill>
    </fill>
    <fill>
      <patternFill patternType="solid">
        <fgColor indexed="60"/>
        <bgColor indexed="64"/>
      </patternFill>
    </fill>
    <fill>
      <patternFill patternType="lightUp">
        <fgColor theme="0"/>
        <bgColor theme="4" tint="0.79998168889431442"/>
      </patternFill>
    </fill>
    <fill>
      <patternFill patternType="lightUp">
        <fgColor theme="0"/>
        <bgColor theme="5" tint="0.79998168889431442"/>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99"/>
        <bgColor rgb="FF000000"/>
      </patternFill>
    </fill>
    <fill>
      <patternFill patternType="solid">
        <fgColor rgb="FFE5ECF9"/>
        <bgColor indexed="64"/>
      </patternFill>
    </fill>
    <fill>
      <patternFill patternType="solid">
        <fgColor rgb="FFEFEFEF"/>
        <bgColor indexed="64"/>
      </patternFill>
    </fill>
    <fill>
      <patternFill patternType="solid">
        <fgColor rgb="FFFF6600"/>
        <bgColor indexed="64"/>
      </patternFill>
    </fill>
    <fill>
      <patternFill patternType="solid">
        <fgColor rgb="FF008000"/>
        <bgColor indexed="64"/>
      </patternFill>
    </fill>
  </fills>
  <borders count="125">
    <border>
      <left/>
      <right/>
      <top/>
      <bottom/>
      <diagonal/>
    </border>
    <border>
      <left/>
      <right/>
      <top/>
      <bottom style="thin">
        <color indexed="18"/>
      </bottom>
      <diagonal/>
    </border>
    <border>
      <left style="double">
        <color indexed="8"/>
      </left>
      <right/>
      <top/>
      <bottom style="hair">
        <color indexed="8"/>
      </bottom>
      <diagonal/>
    </border>
    <border>
      <left/>
      <right/>
      <top style="thin">
        <color auto="1"/>
      </top>
      <bottom style="thin">
        <color auto="1"/>
      </bottom>
      <diagonal/>
    </border>
    <border>
      <left/>
      <right style="thin">
        <color indexed="9"/>
      </right>
      <top/>
      <bottom style="thin">
        <color indexed="9"/>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auto="1"/>
      </left>
      <right/>
      <top/>
      <bottom/>
      <diagonal/>
    </border>
    <border>
      <left/>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style="thin">
        <color indexed="8"/>
      </top>
      <bottom/>
      <diagonal/>
    </border>
    <border>
      <left/>
      <right/>
      <top/>
      <bottom style="thin">
        <color auto="1"/>
      </bottom>
      <diagonal/>
    </border>
    <border>
      <left/>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ck">
        <color indexed="62"/>
      </top>
      <bottom style="thin">
        <color indexed="8"/>
      </bottom>
      <diagonal/>
    </border>
    <border>
      <left/>
      <right/>
      <top/>
      <bottom style="hair">
        <color indexed="60"/>
      </bottom>
      <diagonal/>
    </border>
    <border>
      <left/>
      <right/>
      <top/>
      <bottom style="hair">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indexed="9"/>
      </left>
      <right style="medium">
        <color indexed="9"/>
      </right>
      <top style="medium">
        <color indexed="9"/>
      </top>
      <bottom style="medium">
        <color indexed="9"/>
      </bottom>
      <diagonal/>
    </border>
    <border>
      <left style="hair">
        <color auto="1"/>
      </left>
      <right style="hair">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top/>
      <bottom style="medium">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thin">
        <color auto="1"/>
      </top>
      <bottom style="thin">
        <color auto="1"/>
      </bottom>
      <diagonal/>
    </border>
    <border>
      <left style="thin">
        <color indexed="8"/>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medium">
        <color auto="1"/>
      </left>
      <right style="medium">
        <color auto="1"/>
      </right>
      <top style="thin">
        <color indexed="9"/>
      </top>
      <bottom style="thin">
        <color indexed="9"/>
      </bottom>
      <diagonal/>
    </border>
    <border>
      <left/>
      <right/>
      <top style="thin">
        <color indexed="9"/>
      </top>
      <bottom style="thin">
        <color indexed="9"/>
      </bottom>
      <diagonal/>
    </border>
    <border>
      <left style="medium">
        <color auto="1"/>
      </left>
      <right style="medium">
        <color auto="1"/>
      </right>
      <top style="thin">
        <color indexed="9"/>
      </top>
      <bottom/>
      <diagonal/>
    </border>
    <border>
      <left style="medium">
        <color auto="1"/>
      </left>
      <right style="medium">
        <color auto="1"/>
      </right>
      <top/>
      <bottom style="thin">
        <color indexed="9"/>
      </bottom>
      <diagonal/>
    </border>
    <border>
      <left/>
      <right/>
      <top style="thin">
        <color indexed="9"/>
      </top>
      <bottom/>
      <diagonal/>
    </border>
    <border>
      <left/>
      <right/>
      <top/>
      <bottom style="thin">
        <color indexed="9"/>
      </bottom>
      <diagonal/>
    </border>
    <border>
      <left/>
      <right/>
      <top style="thick">
        <color indexed="23"/>
      </top>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style="medium">
        <color auto="1"/>
      </left>
      <right style="medium">
        <color auto="1"/>
      </right>
      <top style="thin">
        <color indexed="9"/>
      </top>
      <bottom style="double">
        <color auto="1"/>
      </bottom>
      <diagonal/>
    </border>
    <border>
      <left/>
      <right/>
      <top style="thin">
        <color indexed="9"/>
      </top>
      <bottom style="double">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bottom style="hair">
        <color indexed="60"/>
      </bottom>
      <diagonal/>
    </border>
    <border>
      <left style="medium">
        <color auto="1"/>
      </left>
      <right style="medium">
        <color auto="1"/>
      </right>
      <top/>
      <bottom style="hair">
        <color indexed="57"/>
      </bottom>
      <diagonal/>
    </border>
    <border>
      <left style="medium">
        <color auto="1"/>
      </left>
      <right style="medium">
        <color auto="1"/>
      </right>
      <top style="medium">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ck">
        <color indexed="14"/>
      </left>
      <right/>
      <top/>
      <bottom/>
      <diagonal/>
    </border>
    <border>
      <left style="thick">
        <color indexed="12"/>
      </left>
      <right style="thick">
        <color indexed="12"/>
      </right>
      <top style="thick">
        <color indexed="12"/>
      </top>
      <bottom style="thick">
        <color indexed="12"/>
      </bottom>
      <diagonal/>
    </border>
    <border>
      <left style="thick">
        <color indexed="17"/>
      </left>
      <right style="thick">
        <color indexed="17"/>
      </right>
      <top style="thick">
        <color indexed="17"/>
      </top>
      <bottom style="thick">
        <color indexed="17"/>
      </bottom>
      <diagonal/>
    </border>
    <border>
      <left style="thick">
        <color indexed="10"/>
      </left>
      <right style="thick">
        <color indexed="10"/>
      </right>
      <top style="thick">
        <color indexed="10"/>
      </top>
      <bottom style="thick">
        <color indexed="10"/>
      </bottom>
      <diagonal/>
    </border>
    <border>
      <left style="thick">
        <color indexed="17"/>
      </left>
      <right style="thick">
        <color indexed="17"/>
      </right>
      <top style="thick">
        <color indexed="17"/>
      </top>
      <bottom/>
      <diagonal/>
    </border>
    <border>
      <left style="thick">
        <color indexed="17"/>
      </left>
      <right style="thick">
        <color indexed="17"/>
      </right>
      <top/>
      <bottom/>
      <diagonal/>
    </border>
    <border>
      <left style="thick">
        <color indexed="17"/>
      </left>
      <right style="thick">
        <color indexed="17"/>
      </right>
      <top/>
      <bottom style="thick">
        <color indexed="17"/>
      </bottom>
      <diagonal/>
    </border>
    <border>
      <left style="thick">
        <color indexed="16"/>
      </left>
      <right style="thick">
        <color indexed="16"/>
      </right>
      <top style="thick">
        <color indexed="16"/>
      </top>
      <bottom style="thick">
        <color indexed="16"/>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auto="1"/>
      </left>
      <right style="medium">
        <color auto="1"/>
      </right>
      <top style="hair">
        <color auto="1"/>
      </top>
      <bottom style="medium">
        <color auto="1"/>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auto="1"/>
      </left>
      <right style="medium">
        <color auto="1"/>
      </right>
      <top style="hair">
        <color indexed="57"/>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auto="1"/>
      </top>
      <bottom style="thin">
        <color auto="1"/>
      </bottom>
      <diagonal/>
    </border>
    <border>
      <left style="thick">
        <color indexed="14"/>
      </left>
      <right/>
      <top/>
      <bottom style="thick">
        <color indexed="14"/>
      </bottom>
      <diagonal/>
    </border>
    <border>
      <left/>
      <right/>
      <top/>
      <bottom style="thick">
        <color indexed="14"/>
      </bottom>
      <diagonal/>
    </border>
    <border>
      <left/>
      <right style="thick">
        <color indexed="14"/>
      </right>
      <top/>
      <bottom style="thick">
        <color indexed="14"/>
      </bottom>
      <diagonal/>
    </border>
    <border>
      <left style="thick">
        <color indexed="14"/>
      </left>
      <right/>
      <top style="thick">
        <color indexed="14"/>
      </top>
      <bottom/>
      <diagonal/>
    </border>
    <border>
      <left/>
      <right/>
      <top style="thick">
        <color indexed="14"/>
      </top>
      <bottom/>
      <diagonal/>
    </border>
    <border>
      <left/>
      <right style="thick">
        <color indexed="14"/>
      </right>
      <top style="thick">
        <color indexed="14"/>
      </top>
      <bottom/>
      <diagonal/>
    </border>
    <border>
      <left/>
      <right style="thick">
        <color indexed="14"/>
      </right>
      <top/>
      <bottom/>
      <diagonal/>
    </border>
    <border>
      <left/>
      <right/>
      <top/>
      <bottom style="thick">
        <color theme="4" tint="0.499984740745262"/>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diagonal/>
    </border>
    <border>
      <left/>
      <right style="medium">
        <color rgb="FFCCCCCC"/>
      </right>
      <top/>
      <bottom/>
      <diagonal/>
    </border>
    <border>
      <left style="thin">
        <color rgb="FF000000"/>
      </left>
      <right style="thin">
        <color rgb="FF000000"/>
      </right>
      <top style="thin">
        <color rgb="FF000000"/>
      </top>
      <bottom style="thin">
        <color rgb="FF000000"/>
      </bottom>
      <diagonal/>
    </border>
  </borders>
  <cellStyleXfs count="221">
    <xf numFmtId="0" fontId="0" fillId="0" borderId="0"/>
    <xf numFmtId="0" fontId="169" fillId="0" borderId="0" applyNumberFormat="0" applyFill="0" applyBorder="0" applyAlignment="0" applyProtection="0"/>
    <xf numFmtId="0" fontId="170" fillId="0" borderId="1" applyNumberFormat="0" applyFill="0" applyProtection="0">
      <alignment horizontal="center"/>
    </xf>
    <xf numFmtId="0" fontId="171" fillId="0" borderId="0" applyNumberFormat="0" applyFill="0" applyProtection="0">
      <alignment horizontal="center"/>
    </xf>
    <xf numFmtId="188" fontId="10" fillId="0" borderId="0" applyFill="0" applyBorder="0" applyAlignment="0"/>
    <xf numFmtId="189" fontId="10" fillId="0" borderId="0" applyFill="0" applyBorder="0" applyAlignment="0" applyProtection="0"/>
    <xf numFmtId="0" fontId="168" fillId="0" borderId="0"/>
    <xf numFmtId="185" fontId="10" fillId="0" borderId="0" applyFill="0" applyBorder="0" applyAlignment="0" applyProtection="0"/>
    <xf numFmtId="186" fontId="10" fillId="0" borderId="0" applyFill="0" applyBorder="0" applyAlignment="0" applyProtection="0"/>
    <xf numFmtId="226" fontId="10" fillId="0" borderId="0" applyFill="0" applyBorder="0" applyAlignment="0" applyProtection="0"/>
    <xf numFmtId="227" fontId="10" fillId="0" borderId="0" applyFill="0" applyBorder="0" applyAlignment="0" applyProtection="0"/>
    <xf numFmtId="228" fontId="10" fillId="0" borderId="0" applyFill="0" applyBorder="0" applyAlignment="0" applyProtection="0"/>
    <xf numFmtId="230" fontId="10" fillId="0" borderId="0" applyFill="0" applyBorder="0" applyAlignment="0" applyProtection="0"/>
    <xf numFmtId="229" fontId="10" fillId="0" borderId="0" applyFill="0" applyBorder="0" applyAlignment="0" applyProtection="0"/>
    <xf numFmtId="231" fontId="10" fillId="0" borderId="0" applyFill="0" applyBorder="0" applyAlignment="0" applyProtection="0"/>
    <xf numFmtId="187" fontId="172" fillId="0" borderId="0">
      <alignment horizontal="center"/>
    </xf>
    <xf numFmtId="0" fontId="2" fillId="2" borderId="0" applyNumberFormat="0" applyBorder="0" applyAlignment="0" applyProtection="0"/>
    <xf numFmtId="0" fontId="173" fillId="3" borderId="0" applyNumberFormat="0" applyBorder="0" applyAlignment="0" applyProtection="0"/>
    <xf numFmtId="0" fontId="68" fillId="7" borderId="2">
      <alignment horizontal="center" vertical="center"/>
    </xf>
    <xf numFmtId="0" fontId="162" fillId="0" borderId="0"/>
    <xf numFmtId="0" fontId="12" fillId="0" borderId="3">
      <alignment horizontal="center" vertical="center"/>
    </xf>
    <xf numFmtId="0" fontId="162" fillId="0" borderId="0">
      <alignment horizontal="center" wrapText="1"/>
      <protection locked="0"/>
    </xf>
    <xf numFmtId="0" fontId="174" fillId="0" borderId="0" applyNumberFormat="0" applyFill="0" applyBorder="0" applyAlignment="0" applyProtection="0"/>
    <xf numFmtId="0" fontId="175" fillId="0" borderId="0" applyNumberFormat="0" applyBorder="0" applyAlignment="0"/>
    <xf numFmtId="0" fontId="26" fillId="8" borderId="4">
      <alignment horizontal="center" vertical="center"/>
    </xf>
    <xf numFmtId="190" fontId="10" fillId="0" borderId="0" applyFill="0" applyBorder="0" applyProtection="0">
      <alignment horizontal="center"/>
    </xf>
    <xf numFmtId="14" fontId="10" fillId="0" borderId="0" applyFill="0" applyBorder="0" applyAlignment="0" applyProtection="0"/>
    <xf numFmtId="0" fontId="10" fillId="7" borderId="0" applyAlignment="0"/>
    <xf numFmtId="191" fontId="176" fillId="6" borderId="5" applyAlignment="0" applyProtection="0"/>
    <xf numFmtId="192" fontId="176" fillId="6" borderId="5" applyAlignment="0" applyProtection="0"/>
    <xf numFmtId="193" fontId="10" fillId="0" borderId="0" applyFill="0" applyBorder="0" applyAlignment="0" applyProtection="0"/>
    <xf numFmtId="194" fontId="10" fillId="0" borderId="0" applyFill="0" applyBorder="0" applyAlignment="0" applyProtection="0"/>
    <xf numFmtId="195" fontId="10" fillId="0" borderId="0" applyFill="0" applyBorder="0" applyAlignment="0" applyProtection="0"/>
    <xf numFmtId="192" fontId="10" fillId="0" borderId="0" applyFill="0" applyBorder="0" applyAlignment="0" applyProtection="0"/>
    <xf numFmtId="196" fontId="10" fillId="0" borderId="0" applyFill="0" applyBorder="0" applyAlignment="0" applyProtection="0"/>
    <xf numFmtId="0" fontId="43" fillId="0" borderId="0" applyNumberFormat="0" applyFill="0" applyBorder="0" applyAlignment="0" applyProtection="0"/>
    <xf numFmtId="0" fontId="10" fillId="0" borderId="6" applyNumberFormat="0" applyFill="0" applyAlignment="0" applyProtection="0"/>
    <xf numFmtId="0" fontId="10" fillId="0" borderId="7" applyNumberFormat="0" applyFill="0" applyAlignment="0" applyProtection="0"/>
    <xf numFmtId="0" fontId="10" fillId="0" borderId="0" applyNumberFormat="0" applyFill="0" applyBorder="0" applyProtection="0">
      <alignment horizontal="center"/>
    </xf>
    <xf numFmtId="197" fontId="10" fillId="0" borderId="0" applyFill="0" applyBorder="0" applyAlignment="0"/>
    <xf numFmtId="0" fontId="177" fillId="4" borderId="8" applyNumberFormat="0" applyAlignment="0" applyProtection="0"/>
    <xf numFmtId="0" fontId="178" fillId="0" borderId="0">
      <alignment horizontal="center" wrapText="1"/>
      <protection hidden="1"/>
    </xf>
    <xf numFmtId="0" fontId="32" fillId="0" borderId="0" applyNumberFormat="0" applyFill="0" applyBorder="0" applyAlignment="0" applyProtection="0">
      <alignment vertical="top"/>
      <protection locked="0"/>
    </xf>
    <xf numFmtId="198" fontId="10" fillId="0" borderId="0"/>
    <xf numFmtId="198" fontId="10" fillId="0" borderId="0"/>
    <xf numFmtId="198" fontId="10" fillId="0" borderId="0"/>
    <xf numFmtId="198" fontId="10" fillId="0" borderId="0"/>
    <xf numFmtId="198" fontId="10" fillId="0" borderId="0"/>
    <xf numFmtId="198" fontId="10" fillId="0" borderId="0"/>
    <xf numFmtId="198" fontId="10" fillId="0" borderId="0"/>
    <xf numFmtId="198" fontId="10" fillId="0" borderId="0"/>
    <xf numFmtId="199" fontId="10" fillId="0" borderId="0" applyFill="0" applyBorder="0" applyAlignment="0" applyProtection="0"/>
    <xf numFmtId="200" fontId="10" fillId="0" borderId="0" applyFill="0" applyBorder="0" applyAlignment="0" applyProtection="0"/>
    <xf numFmtId="201" fontId="10" fillId="0" borderId="0" applyFill="0" applyBorder="0" applyAlignment="0" applyProtection="0"/>
    <xf numFmtId="0" fontId="10" fillId="9" borderId="0">
      <alignment horizontal="center" vertical="center" wrapText="1"/>
    </xf>
    <xf numFmtId="0" fontId="179" fillId="0" borderId="0" applyNumberFormat="0" applyAlignment="0"/>
    <xf numFmtId="0" fontId="10" fillId="0" borderId="6" applyNumberFormat="0" applyFill="0" applyProtection="0">
      <alignment horizontal="center"/>
    </xf>
    <xf numFmtId="0" fontId="43" fillId="0" borderId="0" applyFill="0" applyBorder="0">
      <alignment horizontal="right"/>
      <protection locked="0"/>
    </xf>
    <xf numFmtId="202" fontId="10" fillId="0" borderId="0" applyFill="0" applyBorder="0" applyAlignment="0" applyProtection="0"/>
    <xf numFmtId="203" fontId="10" fillId="0" borderId="0" applyFill="0" applyBorder="0" applyAlignment="0" applyProtection="0"/>
    <xf numFmtId="204" fontId="180" fillId="0" borderId="0" applyBorder="0"/>
    <xf numFmtId="205" fontId="10" fillId="0" borderId="0" applyFill="0" applyBorder="0" applyAlignment="0" applyProtection="0"/>
    <xf numFmtId="0" fontId="46" fillId="0" borderId="0"/>
    <xf numFmtId="0" fontId="46" fillId="0" borderId="5"/>
    <xf numFmtId="206" fontId="181" fillId="0" borderId="0">
      <protection locked="0"/>
    </xf>
    <xf numFmtId="0" fontId="10" fillId="0" borderId="0" applyFill="0" applyBorder="0" applyAlignment="0" applyProtection="0"/>
    <xf numFmtId="172" fontId="12" fillId="0" borderId="0" applyBorder="0"/>
    <xf numFmtId="172" fontId="12" fillId="0" borderId="9"/>
    <xf numFmtId="232" fontId="10" fillId="0" borderId="0" applyFill="0" applyBorder="0" applyAlignment="0" applyProtection="0"/>
    <xf numFmtId="0" fontId="247" fillId="44" borderId="0" applyNumberFormat="0" applyBorder="0" applyAlignment="0" applyProtection="0"/>
    <xf numFmtId="0" fontId="247" fillId="45" borderId="0" applyNumberFormat="0" applyBorder="0" applyAlignment="0" applyProtection="0"/>
    <xf numFmtId="0" fontId="182" fillId="0" borderId="0" applyNumberFormat="0" applyAlignment="0"/>
    <xf numFmtId="207" fontId="10" fillId="0" borderId="0" applyFill="0" applyBorder="0" applyAlignment="0" applyProtection="0"/>
    <xf numFmtId="0" fontId="183" fillId="0" borderId="0" applyProtection="0"/>
    <xf numFmtId="0" fontId="184" fillId="0" borderId="0" applyProtection="0"/>
    <xf numFmtId="0" fontId="185" fillId="0" borderId="0" applyProtection="0"/>
    <xf numFmtId="0" fontId="186" fillId="0" borderId="0" applyProtection="0"/>
    <xf numFmtId="0" fontId="187" fillId="0" borderId="0" applyProtection="0"/>
    <xf numFmtId="0" fontId="188" fillId="0" borderId="0" applyProtection="0"/>
    <xf numFmtId="0" fontId="189" fillId="0" borderId="0" applyProtection="0"/>
    <xf numFmtId="208" fontId="10" fillId="0" borderId="0">
      <protection locked="0"/>
    </xf>
    <xf numFmtId="0" fontId="190" fillId="0" borderId="0" applyNumberFormat="0" applyFill="0" applyBorder="0" applyAlignment="0" applyProtection="0"/>
    <xf numFmtId="0" fontId="10" fillId="0" borderId="0" applyFill="0" applyBorder="0" applyAlignment="0" applyProtection="0"/>
    <xf numFmtId="0" fontId="137" fillId="3" borderId="0" applyNumberFormat="0" applyBorder="0" applyAlignment="0" applyProtection="0"/>
    <xf numFmtId="0" fontId="68" fillId="4" borderId="0" applyNumberFormat="0" applyBorder="0" applyAlignment="0" applyProtection="0"/>
    <xf numFmtId="0" fontId="191" fillId="0" borderId="0" applyNumberFormat="0" applyFill="0" applyBorder="0" applyAlignment="0" applyProtection="0"/>
    <xf numFmtId="0" fontId="34" fillId="0" borderId="10" applyNumberFormat="0" applyAlignment="0" applyProtection="0"/>
    <xf numFmtId="0" fontId="34" fillId="0" borderId="10">
      <alignment horizontal="left" vertical="center"/>
    </xf>
    <xf numFmtId="0" fontId="10" fillId="0" borderId="0" applyFill="0" applyProtection="0">
      <alignment horizontal="left"/>
    </xf>
    <xf numFmtId="209" fontId="10" fillId="0" borderId="0">
      <protection locked="0"/>
    </xf>
    <xf numFmtId="209" fontId="10" fillId="0" borderId="0">
      <protection locked="0"/>
    </xf>
    <xf numFmtId="0" fontId="176" fillId="0" borderId="11" applyNumberFormat="0" applyFill="0" applyAlignment="0" applyProtection="0"/>
    <xf numFmtId="0" fontId="192" fillId="0" borderId="0" applyNumberFormat="0" applyFill="0" applyBorder="0" applyAlignment="0" applyProtection="0"/>
    <xf numFmtId="0" fontId="193" fillId="0" borderId="0" applyNumberFormat="0" applyFill="0" applyBorder="0" applyAlignment="0" applyProtection="0"/>
    <xf numFmtId="0" fontId="68" fillId="5" borderId="0" applyNumberFormat="0" applyBorder="0" applyAlignment="0" applyProtection="0"/>
    <xf numFmtId="0" fontId="194" fillId="4" borderId="8" applyNumberFormat="0" applyAlignment="0" applyProtection="0"/>
    <xf numFmtId="0" fontId="43" fillId="0" borderId="0" applyFill="0" applyBorder="0">
      <alignment horizontal="right"/>
      <protection locked="0"/>
    </xf>
    <xf numFmtId="0" fontId="10" fillId="10" borderId="5">
      <alignment horizontal="left" vertical="center" wrapText="1"/>
    </xf>
    <xf numFmtId="0" fontId="101" fillId="10" borderId="5"/>
    <xf numFmtId="0" fontId="32" fillId="0" borderId="0" applyNumberFormat="0" applyFill="0" applyBorder="0" applyAlignment="0" applyProtection="0"/>
    <xf numFmtId="0" fontId="195" fillId="0" borderId="12"/>
    <xf numFmtId="210" fontId="10" fillId="0" borderId="0" applyFill="0" applyBorder="0" applyAlignment="0" applyProtection="0"/>
    <xf numFmtId="41" fontId="10" fillId="0" borderId="0" applyFont="0" applyFill="0" applyBorder="0" applyAlignment="0" applyProtection="0"/>
    <xf numFmtId="210" fontId="10" fillId="0" borderId="0" applyFill="0" applyBorder="0" applyAlignment="0" applyProtection="0"/>
    <xf numFmtId="210" fontId="10" fillId="0" borderId="0" applyFill="0" applyBorder="0" applyAlignment="0" applyProtection="0"/>
    <xf numFmtId="210" fontId="10" fillId="0" borderId="0" applyFill="0" applyBorder="0" applyAlignment="0" applyProtection="0"/>
    <xf numFmtId="211" fontId="10" fillId="0" borderId="0" applyFill="0" applyBorder="0" applyAlignment="0" applyProtection="0"/>
    <xf numFmtId="212" fontId="10" fillId="0" borderId="0" applyFill="0" applyBorder="0" applyAlignment="0" applyProtection="0"/>
    <xf numFmtId="212" fontId="10" fillId="0" borderId="0" applyFill="0" applyBorder="0" applyAlignment="0" applyProtection="0"/>
    <xf numFmtId="40" fontId="10" fillId="0" borderId="0" applyFill="0" applyBorder="0" applyAlignment="0" applyProtection="0"/>
    <xf numFmtId="211" fontId="10" fillId="0" borderId="0" applyFill="0" applyBorder="0" applyAlignment="0" applyProtection="0"/>
    <xf numFmtId="211" fontId="10" fillId="0" borderId="0" applyFill="0" applyBorder="0" applyAlignment="0" applyProtection="0"/>
    <xf numFmtId="211" fontId="10" fillId="0" borderId="0" applyFill="0" applyBorder="0" applyAlignment="0" applyProtection="0"/>
    <xf numFmtId="213" fontId="10" fillId="0" borderId="0" applyFill="0" applyBorder="0" applyAlignment="0" applyProtection="0"/>
    <xf numFmtId="214"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215" fontId="10" fillId="0" borderId="0" applyFill="0" applyBorder="0" applyAlignment="0" applyProtection="0"/>
    <xf numFmtId="216" fontId="10" fillId="0" borderId="0" applyFill="0" applyBorder="0" applyAlignment="0" applyProtection="0"/>
    <xf numFmtId="217"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218" fontId="10" fillId="0" borderId="0" applyFill="0" applyBorder="0" applyAlignment="0" applyProtection="0"/>
    <xf numFmtId="219" fontId="10" fillId="0" borderId="0" applyFill="0" applyBorder="0" applyAlignment="0" applyProtection="0"/>
    <xf numFmtId="220" fontId="10" fillId="0" borderId="0" applyFill="0" applyBorder="0" applyAlignment="0" applyProtection="0"/>
    <xf numFmtId="0" fontId="138" fillId="6" borderId="0" applyNumberFormat="0" applyBorder="0" applyAlignment="0" applyProtection="0"/>
    <xf numFmtId="37" fontId="196" fillId="0" borderId="0"/>
    <xf numFmtId="0" fontId="197" fillId="11" borderId="0" applyNumberFormat="0" applyBorder="0" applyAlignment="0" applyProtection="0"/>
    <xf numFmtId="0" fontId="215" fillId="0" borderId="0"/>
    <xf numFmtId="217" fontId="46" fillId="0" borderId="0"/>
    <xf numFmtId="0" fontId="12" fillId="0" borderId="0"/>
    <xf numFmtId="0" fontId="12" fillId="0" borderId="0"/>
    <xf numFmtId="0" fontId="10" fillId="0" borderId="0"/>
    <xf numFmtId="0" fontId="10" fillId="0" borderId="0"/>
    <xf numFmtId="191" fontId="10" fillId="0" borderId="0" applyFill="0" applyBorder="0" applyAlignment="0" applyProtection="0"/>
    <xf numFmtId="0" fontId="10" fillId="0" borderId="0"/>
    <xf numFmtId="0" fontId="10" fillId="0" borderId="0"/>
    <xf numFmtId="0" fontId="140" fillId="0" borderId="0"/>
    <xf numFmtId="0" fontId="198" fillId="0" borderId="0"/>
    <xf numFmtId="0" fontId="30" fillId="0" borderId="0"/>
    <xf numFmtId="0" fontId="10" fillId="0" borderId="0"/>
    <xf numFmtId="0" fontId="30" fillId="0" borderId="0"/>
    <xf numFmtId="0" fontId="2" fillId="0" borderId="0"/>
    <xf numFmtId="0" fontId="141" fillId="0" borderId="0"/>
    <xf numFmtId="0" fontId="200" fillId="0" borderId="0"/>
    <xf numFmtId="0" fontId="199" fillId="0" borderId="0"/>
    <xf numFmtId="0" fontId="10" fillId="0" borderId="0"/>
    <xf numFmtId="0" fontId="2" fillId="0" borderId="0"/>
    <xf numFmtId="0" fontId="2" fillId="0" borderId="0"/>
    <xf numFmtId="0" fontId="156" fillId="0" borderId="0"/>
    <xf numFmtId="0" fontId="30" fillId="0" borderId="0"/>
    <xf numFmtId="0" fontId="10" fillId="0" borderId="0"/>
    <xf numFmtId="0" fontId="142" fillId="0" borderId="0">
      <alignment horizontal="left"/>
    </xf>
    <xf numFmtId="221" fontId="10" fillId="0" borderId="0" applyFill="0" applyBorder="0" applyProtection="0">
      <alignment horizontal="right"/>
    </xf>
    <xf numFmtId="233" fontId="10" fillId="0" borderId="0" applyFont="0" applyFill="0" applyBorder="0" applyAlignment="0" applyProtection="0"/>
    <xf numFmtId="234" fontId="10" fillId="0" borderId="0" applyFont="0" applyFill="0" applyBorder="0" applyAlignment="0" applyProtection="0"/>
    <xf numFmtId="168" fontId="10" fillId="0" borderId="0" applyFill="0" applyBorder="0" applyAlignment="0" applyProtection="0"/>
    <xf numFmtId="222" fontId="201" fillId="0" borderId="6">
      <alignment vertical="center"/>
    </xf>
    <xf numFmtId="14" fontId="162" fillId="0" borderId="0">
      <alignment horizontal="center" wrapText="1"/>
      <protection locked="0"/>
    </xf>
    <xf numFmtId="9" fontId="10" fillId="0" borderId="0" applyFill="0" applyBorder="0" applyAlignment="0" applyProtection="0"/>
    <xf numFmtId="168" fontId="10" fillId="0" borderId="0" applyFill="0" applyBorder="0" applyAlignment="0" applyProtection="0"/>
    <xf numFmtId="10" fontId="10" fillId="0" borderId="0" applyFill="0" applyBorder="0" applyAlignment="0" applyProtection="0"/>
    <xf numFmtId="0" fontId="10" fillId="0" borderId="0" applyFill="0" applyBorder="0" applyAlignment="0" applyProtection="0"/>
    <xf numFmtId="0" fontId="43" fillId="0" borderId="0" applyFill="0" applyBorder="0">
      <alignment horizontal="right"/>
      <protection locked="0"/>
    </xf>
    <xf numFmtId="9" fontId="24" fillId="0" borderId="0" applyFont="0" applyFill="0" applyBorder="0" applyAlignment="0" applyProtection="0"/>
    <xf numFmtId="9" fontId="10" fillId="0" borderId="0" applyFont="0" applyFill="0" applyBorder="0" applyAlignment="0" applyProtection="0"/>
    <xf numFmtId="13" fontId="10" fillId="0" borderId="0" applyFill="0" applyProtection="0"/>
    <xf numFmtId="9" fontId="10" fillId="0" borderId="0" applyFill="0" applyBorder="0" applyAlignment="0" applyProtection="0"/>
    <xf numFmtId="9" fontId="10" fillId="0" borderId="0" applyFill="0" applyBorder="0" applyAlignment="0" applyProtection="0"/>
    <xf numFmtId="9" fontId="140" fillId="0" borderId="0" applyFont="0" applyFill="0" applyBorder="0" applyAlignment="0" applyProtection="0"/>
    <xf numFmtId="9" fontId="136" fillId="0" borderId="0" applyFont="0" applyFill="0" applyBorder="0" applyAlignment="0" applyProtection="0"/>
    <xf numFmtId="9" fontId="10" fillId="0" borderId="0" applyFill="0" applyBorder="0" applyAlignment="0" applyProtection="0"/>
    <xf numFmtId="223" fontId="10" fillId="0" borderId="0" applyFill="0" applyBorder="0" applyAlignment="0" applyProtection="0"/>
    <xf numFmtId="224" fontId="12" fillId="0" borderId="0"/>
    <xf numFmtId="0" fontId="202" fillId="0" borderId="6">
      <alignment horizontal="center"/>
    </xf>
    <xf numFmtId="225" fontId="203" fillId="0" borderId="0">
      <alignment horizontal="center"/>
    </xf>
    <xf numFmtId="0" fontId="46" fillId="0" borderId="0"/>
    <xf numFmtId="0" fontId="68" fillId="0" borderId="0" applyNumberFormat="0" applyFill="0" applyBorder="0" applyAlignment="0" applyProtection="0"/>
    <xf numFmtId="0" fontId="43" fillId="0" borderId="0" applyFill="0" applyBorder="0">
      <alignment horizontal="right"/>
      <protection hidden="1"/>
    </xf>
    <xf numFmtId="0" fontId="10" fillId="9" borderId="5">
      <alignment horizontal="center" vertical="center" wrapText="1"/>
      <protection hidden="1"/>
    </xf>
    <xf numFmtId="0" fontId="12" fillId="0" borderId="13">
      <alignment horizontal="center" vertical="center"/>
    </xf>
    <xf numFmtId="0" fontId="204" fillId="0" borderId="0" applyNumberFormat="0" applyFill="0" applyBorder="0" applyAlignment="0" applyProtection="0"/>
    <xf numFmtId="0" fontId="10" fillId="0" borderId="0" applyFill="0" applyBorder="0" applyAlignment="0" applyProtection="0"/>
    <xf numFmtId="40" fontId="10" fillId="0" borderId="0" applyBorder="0">
      <alignment horizontal="right"/>
    </xf>
    <xf numFmtId="0" fontId="46" fillId="0" borderId="5"/>
    <xf numFmtId="0" fontId="205" fillId="0" borderId="0" applyBorder="0" applyProtection="0">
      <alignment vertical="center"/>
    </xf>
    <xf numFmtId="0" fontId="205" fillId="0" borderId="0" applyBorder="0" applyProtection="0">
      <alignment horizontal="right" vertical="center"/>
    </xf>
    <xf numFmtId="0" fontId="206" fillId="0" borderId="0" applyFill="0" applyBorder="0" applyProtection="0">
      <alignment horizontal="left"/>
    </xf>
    <xf numFmtId="0" fontId="207" fillId="0" borderId="0" applyFill="0" applyBorder="0" applyProtection="0">
      <alignment horizontal="left" vertical="top"/>
    </xf>
    <xf numFmtId="0" fontId="208" fillId="0" borderId="0" applyFill="0" applyBorder="0" applyProtection="0">
      <alignment vertical="top"/>
    </xf>
    <xf numFmtId="49" fontId="209" fillId="0" borderId="6">
      <alignment vertical="center"/>
    </xf>
    <xf numFmtId="0" fontId="143" fillId="0" borderId="0"/>
    <xf numFmtId="0" fontId="210" fillId="12" borderId="0"/>
    <xf numFmtId="0" fontId="178" fillId="0" borderId="0" applyBorder="0"/>
    <xf numFmtId="0" fontId="248" fillId="0" borderId="115" applyNumberFormat="0" applyFill="0" applyAlignment="0" applyProtection="0"/>
    <xf numFmtId="0" fontId="144" fillId="0" borderId="0"/>
    <xf numFmtId="209" fontId="10" fillId="0" borderId="14">
      <protection locked="0"/>
    </xf>
    <xf numFmtId="0" fontId="101" fillId="0" borderId="15"/>
    <xf numFmtId="0" fontId="101" fillId="0" borderId="5"/>
    <xf numFmtId="0" fontId="10" fillId="0" borderId="6" applyNumberFormat="0" applyFill="0" applyAlignment="0" applyProtection="0"/>
    <xf numFmtId="0" fontId="68" fillId="6" borderId="0" applyNumberFormat="0" applyBorder="0" applyAlignment="0" applyProtection="0"/>
    <xf numFmtId="37" fontId="68" fillId="0" borderId="0"/>
    <xf numFmtId="3" fontId="211" fillId="0" borderId="11" applyProtection="0"/>
    <xf numFmtId="0" fontId="212" fillId="3" borderId="0" applyNumberFormat="0" applyBorder="0" applyAlignment="0" applyProtection="0"/>
    <xf numFmtId="44" fontId="14" fillId="0" borderId="0" applyFont="0" applyFill="0" applyBorder="0" applyAlignment="0" applyProtection="0"/>
    <xf numFmtId="202" fontId="10" fillId="0" borderId="0" applyFill="0" applyBorder="0" applyAlignment="0" applyProtection="0"/>
    <xf numFmtId="180" fontId="140" fillId="0" borderId="0" applyFont="0" applyFill="0" applyBorder="0" applyAlignment="0" applyProtection="0"/>
    <xf numFmtId="180" fontId="136" fillId="0" borderId="0" applyFont="0" applyFill="0" applyBorder="0" applyAlignment="0" applyProtection="0"/>
    <xf numFmtId="175" fontId="156" fillId="0" borderId="0" applyFont="0" applyFill="0" applyBorder="0" applyAlignment="0" applyProtection="0"/>
    <xf numFmtId="44" fontId="10" fillId="0" borderId="0" applyFont="0" applyFill="0" applyBorder="0" applyAlignment="0" applyProtection="0"/>
    <xf numFmtId="164" fontId="24"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 fontId="11" fillId="0" borderId="0" applyFill="0" applyBorder="0" applyAlignment="0" applyProtection="0"/>
    <xf numFmtId="0" fontId="252" fillId="0" borderId="0"/>
    <xf numFmtId="9" fontId="252" fillId="0" borderId="0" applyFont="0" applyFill="0" applyBorder="0" applyAlignment="0" applyProtection="0"/>
    <xf numFmtId="44" fontId="252" fillId="0" borderId="0" applyFont="0" applyFill="0" applyBorder="0" applyAlignment="0" applyProtection="0"/>
    <xf numFmtId="0" fontId="271" fillId="0" borderId="0" applyNumberFormat="0" applyFill="0" applyBorder="0" applyAlignment="0" applyProtection="0"/>
    <xf numFmtId="0" fontId="271" fillId="0" borderId="0" applyNumberFormat="0" applyFill="0" applyBorder="0" applyAlignment="0" applyProtection="0"/>
    <xf numFmtId="0" fontId="1" fillId="0" borderId="0"/>
    <xf numFmtId="0" fontId="276" fillId="0" borderId="0" applyNumberFormat="0" applyFill="0" applyBorder="0" applyAlignment="0" applyProtection="0"/>
  </cellStyleXfs>
  <cellXfs count="1457">
    <xf numFmtId="0" fontId="0" fillId="0" borderId="0" xfId="0"/>
    <xf numFmtId="0" fontId="25" fillId="0" borderId="0" xfId="133" applyFont="1" applyAlignment="1">
      <alignment horizontal="center" vertical="center"/>
    </xf>
    <xf numFmtId="0" fontId="25" fillId="0" borderId="0" xfId="133" applyFont="1" applyAlignment="1">
      <alignment horizontal="center" vertical="distributed"/>
    </xf>
    <xf numFmtId="168" fontId="25" fillId="0" borderId="0" xfId="164" applyNumberFormat="1" applyFont="1" applyAlignment="1">
      <alignment horizontal="center" vertical="center"/>
    </xf>
    <xf numFmtId="0" fontId="25" fillId="13" borderId="0" xfId="133" applyFont="1" applyFill="1" applyAlignment="1">
      <alignment horizontal="center" vertical="center"/>
    </xf>
    <xf numFmtId="0" fontId="25" fillId="0" borderId="0" xfId="133" applyFont="1" applyBorder="1" applyAlignment="1">
      <alignment horizontal="center" vertical="center"/>
    </xf>
    <xf numFmtId="0" fontId="25" fillId="0" borderId="0" xfId="133" applyFont="1" applyBorder="1" applyAlignment="1">
      <alignment horizontal="center" vertical="distributed"/>
    </xf>
    <xf numFmtId="0" fontId="23" fillId="0" borderId="0" xfId="0" applyFont="1" applyBorder="1" applyAlignment="1">
      <alignment vertical="center"/>
    </xf>
    <xf numFmtId="0" fontId="17" fillId="0" borderId="0" xfId="194" applyFont="1" applyBorder="1" applyAlignment="1">
      <alignment horizontal="left" vertical="center" wrapText="1"/>
    </xf>
    <xf numFmtId="0" fontId="17" fillId="0" borderId="0" xfId="194" applyFont="1" applyBorder="1" applyAlignment="1">
      <alignment vertical="center"/>
    </xf>
    <xf numFmtId="0" fontId="17" fillId="0" borderId="0" xfId="194"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Border="1"/>
    <xf numFmtId="0" fontId="0" fillId="0" borderId="0" xfId="0" applyFill="1" applyBorder="1"/>
    <xf numFmtId="0" fontId="25" fillId="0" borderId="0" xfId="0" applyFont="1" applyFill="1" applyBorder="1"/>
    <xf numFmtId="0" fontId="25" fillId="0" borderId="0" xfId="0" applyFont="1" applyBorder="1"/>
    <xf numFmtId="0" fontId="10" fillId="0" borderId="0" xfId="0" applyFont="1" applyBorder="1"/>
    <xf numFmtId="38" fontId="0" fillId="0" borderId="0" xfId="0" applyNumberFormat="1" applyBorder="1"/>
    <xf numFmtId="3" fontId="0" fillId="0" borderId="0" xfId="0" applyNumberFormat="1"/>
    <xf numFmtId="38" fontId="0" fillId="0" borderId="0" xfId="0" applyNumberFormat="1" applyFill="1" applyBorder="1"/>
    <xf numFmtId="0" fontId="10" fillId="0" borderId="0" xfId="0" applyFont="1"/>
    <xf numFmtId="0" fontId="10" fillId="0" borderId="0" xfId="0" applyFont="1" applyFill="1" applyBorder="1"/>
    <xf numFmtId="0" fontId="30" fillId="0" borderId="0" xfId="0" applyFont="1"/>
    <xf numFmtId="0" fontId="31" fillId="0" borderId="0" xfId="0" applyFont="1"/>
    <xf numFmtId="0" fontId="33" fillId="0" borderId="0" xfId="0" applyFont="1"/>
    <xf numFmtId="0" fontId="31" fillId="0" borderId="16" xfId="0" applyFont="1" applyBorder="1" applyAlignment="1">
      <alignment horizontal="center" vertical="center"/>
    </xf>
    <xf numFmtId="0" fontId="0" fillId="0" borderId="17" xfId="0" applyBorder="1"/>
    <xf numFmtId="0" fontId="0" fillId="0" borderId="18" xfId="0" applyBorder="1"/>
    <xf numFmtId="0" fontId="34" fillId="0" borderId="0" xfId="0" applyFont="1" applyAlignment="1">
      <alignment horizontal="center"/>
    </xf>
    <xf numFmtId="0" fontId="36" fillId="0" borderId="0" xfId="0" applyFont="1"/>
    <xf numFmtId="0" fontId="0" fillId="0" borderId="0" xfId="0" applyAlignment="1">
      <alignment horizontal="center"/>
    </xf>
    <xf numFmtId="0" fontId="26" fillId="14" borderId="12" xfId="0" applyFont="1" applyFill="1" applyBorder="1" applyAlignment="1">
      <alignment wrapText="1"/>
    </xf>
    <xf numFmtId="0" fontId="26" fillId="14" borderId="12" xfId="0" applyFont="1" applyFill="1" applyBorder="1" applyAlignment="1">
      <alignment horizontal="center" wrapText="1"/>
    </xf>
    <xf numFmtId="0" fontId="37" fillId="14" borderId="12" xfId="0" applyFont="1" applyFill="1" applyBorder="1" applyAlignment="1">
      <alignment horizontal="center" wrapText="1"/>
    </xf>
    <xf numFmtId="2" fontId="0" fillId="0" borderId="0" xfId="0" applyNumberFormat="1"/>
    <xf numFmtId="0" fontId="38" fillId="0" borderId="0" xfId="0" applyFont="1"/>
    <xf numFmtId="0" fontId="38" fillId="0" borderId="0" xfId="0" applyFont="1" applyAlignment="1">
      <alignment horizontal="center"/>
    </xf>
    <xf numFmtId="0" fontId="0" fillId="0" borderId="19" xfId="0" applyBorder="1"/>
    <xf numFmtId="0" fontId="0" fillId="0" borderId="19" xfId="0" applyBorder="1" applyAlignment="1">
      <alignment horizontal="center"/>
    </xf>
    <xf numFmtId="41" fontId="11" fillId="0" borderId="19" xfId="102" applyFont="1" applyBorder="1" applyAlignment="1">
      <alignment horizontal="right" vertical="center"/>
    </xf>
    <xf numFmtId="0" fontId="10" fillId="0" borderId="20" xfId="0" applyFont="1" applyBorder="1"/>
    <xf numFmtId="38" fontId="0" fillId="0" borderId="20" xfId="0" applyNumberFormat="1" applyBorder="1"/>
    <xf numFmtId="0" fontId="25" fillId="0" borderId="20" xfId="0" applyFont="1" applyBorder="1"/>
    <xf numFmtId="0" fontId="10" fillId="0" borderId="0" xfId="0" applyFont="1" applyBorder="1" applyAlignment="1">
      <alignment wrapText="1"/>
    </xf>
    <xf numFmtId="0" fontId="10" fillId="0" borderId="0" xfId="0" applyFont="1" applyBorder="1" applyAlignment="1">
      <alignment horizontal="center" wrapText="1"/>
    </xf>
    <xf numFmtId="2" fontId="36" fillId="0" borderId="0" xfId="0" applyNumberFormat="1" applyFont="1" applyBorder="1" applyAlignment="1">
      <alignment horizontal="center" wrapText="1"/>
    </xf>
    <xf numFmtId="0" fontId="10" fillId="0" borderId="21" xfId="0" applyFont="1" applyBorder="1" applyAlignment="1">
      <alignment wrapText="1"/>
    </xf>
    <xf numFmtId="0" fontId="10" fillId="0" borderId="21" xfId="0" applyFont="1" applyBorder="1" applyAlignment="1">
      <alignment horizontal="center" wrapText="1"/>
    </xf>
    <xf numFmtId="2" fontId="36" fillId="0" borderId="21" xfId="0" applyNumberFormat="1" applyFont="1" applyBorder="1" applyAlignment="1">
      <alignment horizontal="center" wrapText="1"/>
    </xf>
    <xf numFmtId="3" fontId="36" fillId="0" borderId="21" xfId="0" applyNumberFormat="1" applyFont="1" applyBorder="1" applyAlignment="1">
      <alignment horizontal="center" wrapText="1"/>
    </xf>
    <xf numFmtId="0" fontId="25" fillId="0" borderId="0" xfId="0" applyFont="1"/>
    <xf numFmtId="0" fontId="30" fillId="0" borderId="0" xfId="0" applyFont="1" applyProtection="1">
      <protection locked="0"/>
    </xf>
    <xf numFmtId="0" fontId="0" fillId="0" borderId="0" xfId="0" applyFill="1" applyAlignment="1"/>
    <xf numFmtId="38" fontId="35" fillId="0" borderId="0" xfId="0" applyNumberFormat="1" applyFont="1" applyAlignment="1">
      <alignment horizontal="left" vertical="center"/>
    </xf>
    <xf numFmtId="0" fontId="0" fillId="0" borderId="0" xfId="0" applyAlignment="1">
      <alignment horizontal="left"/>
    </xf>
    <xf numFmtId="0" fontId="44" fillId="0" borderId="0" xfId="0" applyFont="1" applyAlignment="1">
      <alignment horizontal="justify" vertical="center"/>
    </xf>
    <xf numFmtId="0" fontId="43" fillId="0" borderId="0" xfId="0" applyFont="1"/>
    <xf numFmtId="0" fontId="43" fillId="0" borderId="0" xfId="0" applyFont="1" applyAlignment="1">
      <alignment horizontal="justify" vertical="center"/>
    </xf>
    <xf numFmtId="0" fontId="46" fillId="0" borderId="0" xfId="0" applyFont="1"/>
    <xf numFmtId="0" fontId="0" fillId="0" borderId="0" xfId="0" applyAlignment="1">
      <alignment horizontal="right"/>
    </xf>
    <xf numFmtId="0" fontId="42" fillId="0" borderId="22" xfId="0" applyFont="1" applyBorder="1"/>
    <xf numFmtId="0" fontId="42" fillId="0" borderId="23" xfId="0" applyFont="1" applyBorder="1"/>
    <xf numFmtId="0" fontId="25" fillId="0" borderId="22" xfId="0" applyFont="1" applyBorder="1" applyAlignment="1">
      <alignment horizontal="center" vertical="center"/>
    </xf>
    <xf numFmtId="3" fontId="0" fillId="0" borderId="22" xfId="0" applyNumberFormat="1" applyBorder="1" applyAlignment="1">
      <alignment horizontal="center" vertical="center"/>
    </xf>
    <xf numFmtId="38" fontId="0" fillId="0" borderId="23" xfId="0" applyNumberFormat="1" applyBorder="1" applyAlignment="1">
      <alignment horizontal="center" vertical="center"/>
    </xf>
    <xf numFmtId="0" fontId="47" fillId="0" borderId="0" xfId="0" applyFont="1"/>
    <xf numFmtId="0" fontId="10" fillId="0" borderId="0" xfId="0" applyFont="1" applyAlignment="1">
      <alignment horizontal="right"/>
    </xf>
    <xf numFmtId="9" fontId="0" fillId="0" borderId="0" xfId="164" applyFont="1"/>
    <xf numFmtId="172" fontId="25" fillId="0" borderId="0" xfId="0" applyNumberFormat="1" applyFont="1" applyBorder="1" applyAlignment="1">
      <alignment horizontal="center" vertical="center"/>
    </xf>
    <xf numFmtId="0" fontId="10" fillId="0" borderId="0" xfId="0" applyFont="1" applyFill="1" applyBorder="1" applyAlignment="1">
      <alignment horizontal="right"/>
    </xf>
    <xf numFmtId="10" fontId="0" fillId="0" borderId="0" xfId="0" applyNumberFormat="1"/>
    <xf numFmtId="0" fontId="42" fillId="0" borderId="0" xfId="0" applyFont="1"/>
    <xf numFmtId="0" fontId="42" fillId="0" borderId="0" xfId="0" applyFont="1" applyAlignment="1">
      <alignment horizontal="right"/>
    </xf>
    <xf numFmtId="0" fontId="51" fillId="0" borderId="0" xfId="0" applyFont="1"/>
    <xf numFmtId="10" fontId="25" fillId="15" borderId="24" xfId="0" applyNumberFormat="1" applyFont="1" applyFill="1" applyBorder="1" applyAlignment="1">
      <alignment horizontal="center" vertical="center"/>
    </xf>
    <xf numFmtId="10" fontId="0" fillId="15" borderId="0" xfId="164" applyNumberFormat="1" applyFont="1" applyFill="1"/>
    <xf numFmtId="0" fontId="25" fillId="16" borderId="25" xfId="0" applyFont="1" applyFill="1" applyBorder="1"/>
    <xf numFmtId="3" fontId="25" fillId="16" borderId="25" xfId="0" applyNumberFormat="1" applyFont="1" applyFill="1" applyBorder="1" applyAlignment="1">
      <alignment horizontal="center" vertical="center"/>
    </xf>
    <xf numFmtId="0" fontId="25" fillId="17" borderId="25" xfId="0" applyFont="1" applyFill="1" applyBorder="1"/>
    <xf numFmtId="0" fontId="42" fillId="15" borderId="26" xfId="0" applyFont="1" applyFill="1" applyBorder="1"/>
    <xf numFmtId="0" fontId="0" fillId="15" borderId="0" xfId="0" applyFill="1" applyAlignment="1">
      <alignment horizontal="center"/>
    </xf>
    <xf numFmtId="9" fontId="10" fillId="0" borderId="0" xfId="164" applyFont="1"/>
    <xf numFmtId="0" fontId="16" fillId="0" borderId="0" xfId="0" applyFont="1"/>
    <xf numFmtId="0" fontId="52"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vertical="center"/>
    </xf>
    <xf numFmtId="0" fontId="56" fillId="0" borderId="0" xfId="0" applyFont="1" applyAlignment="1">
      <alignment horizontal="left" vertical="center" indent="4"/>
    </xf>
    <xf numFmtId="0" fontId="55" fillId="0" borderId="0" xfId="0" applyFont="1" applyAlignment="1">
      <alignment horizontal="left" vertical="center" indent="4"/>
    </xf>
    <xf numFmtId="0" fontId="54" fillId="0" borderId="0" xfId="0" applyFont="1" applyAlignment="1">
      <alignment vertical="center"/>
    </xf>
    <xf numFmtId="0" fontId="55" fillId="0" borderId="0" xfId="0" applyFont="1"/>
    <xf numFmtId="0" fontId="59" fillId="0" borderId="0" xfId="0" applyFont="1" applyAlignment="1">
      <alignment vertical="center"/>
    </xf>
    <xf numFmtId="0" fontId="60" fillId="0" borderId="0" xfId="0" applyFont="1" applyAlignment="1">
      <alignment vertical="center"/>
    </xf>
    <xf numFmtId="0" fontId="60" fillId="0" borderId="0" xfId="0" applyFont="1" applyAlignment="1">
      <alignment horizontal="left" vertical="center" indent="2"/>
    </xf>
    <xf numFmtId="0" fontId="55" fillId="0" borderId="0" xfId="0" applyFont="1" applyAlignment="1">
      <alignment horizontal="left" vertical="center" indent="2"/>
    </xf>
    <xf numFmtId="0" fontId="61" fillId="0" borderId="0" xfId="0" applyFont="1" applyAlignment="1">
      <alignment vertical="center"/>
    </xf>
    <xf numFmtId="0" fontId="62" fillId="0" borderId="0" xfId="0" applyFont="1" applyAlignment="1">
      <alignment vertical="center"/>
    </xf>
    <xf numFmtId="0" fontId="58" fillId="0" borderId="0" xfId="0" applyFont="1" applyAlignment="1">
      <alignment horizontal="center" vertical="center"/>
    </xf>
    <xf numFmtId="0" fontId="55" fillId="0" borderId="0" xfId="0" applyFont="1" applyAlignment="1">
      <alignment horizontal="center" vertical="center"/>
    </xf>
    <xf numFmtId="0" fontId="55" fillId="0" borderId="0" xfId="0" applyFont="1" applyAlignment="1">
      <alignment horizontal="justify" vertical="center"/>
    </xf>
    <xf numFmtId="0" fontId="0" fillId="0" borderId="0" xfId="0" applyAlignment="1">
      <alignment wrapText="1"/>
    </xf>
    <xf numFmtId="3" fontId="0" fillId="0" borderId="0" xfId="0" applyNumberFormat="1" applyAlignment="1">
      <alignment horizontal="center"/>
    </xf>
    <xf numFmtId="38" fontId="0" fillId="0" borderId="0" xfId="0" applyNumberFormat="1"/>
    <xf numFmtId="1" fontId="0" fillId="0" borderId="0" xfId="0" applyNumberFormat="1"/>
    <xf numFmtId="1" fontId="0" fillId="0" borderId="0" xfId="0" applyNumberFormat="1" applyAlignment="1">
      <alignment horizontal="center"/>
    </xf>
    <xf numFmtId="0" fontId="10" fillId="0" borderId="0" xfId="0" applyFont="1" applyAlignment="1">
      <alignment horizontal="left"/>
    </xf>
    <xf numFmtId="10" fontId="25" fillId="17" borderId="25" xfId="164" applyNumberFormat="1" applyFont="1" applyFill="1" applyBorder="1" applyAlignment="1">
      <alignment horizontal="center" vertical="center"/>
    </xf>
    <xf numFmtId="9" fontId="0" fillId="18" borderId="0" xfId="0" applyNumberFormat="1" applyFill="1" applyAlignment="1">
      <alignment horizontal="left"/>
    </xf>
    <xf numFmtId="9" fontId="25" fillId="18" borderId="0" xfId="0" applyNumberFormat="1" applyFont="1" applyFill="1" applyAlignment="1">
      <alignment horizontal="center" vertical="center"/>
    </xf>
    <xf numFmtId="0" fontId="25" fillId="0" borderId="0" xfId="0" applyFont="1" applyAlignment="1">
      <alignment horizontal="center"/>
    </xf>
    <xf numFmtId="10" fontId="25" fillId="15" borderId="0" xfId="0" applyNumberFormat="1" applyFont="1" applyFill="1"/>
    <xf numFmtId="9" fontId="25" fillId="18" borderId="0" xfId="0" applyNumberFormat="1" applyFont="1" applyFill="1" applyAlignment="1">
      <alignment horizontal="center"/>
    </xf>
    <xf numFmtId="10" fontId="25" fillId="19" borderId="0" xfId="0" applyNumberFormat="1" applyFont="1" applyFill="1" applyAlignment="1">
      <alignment horizontal="center"/>
    </xf>
    <xf numFmtId="9" fontId="0" fillId="18" borderId="0" xfId="0" applyNumberFormat="1" applyFill="1" applyAlignment="1">
      <alignment horizontal="center"/>
    </xf>
    <xf numFmtId="0" fontId="25" fillId="0" borderId="0" xfId="0" applyFont="1" applyAlignment="1">
      <alignment horizontal="left"/>
    </xf>
    <xf numFmtId="10" fontId="25" fillId="20" borderId="0" xfId="0" applyNumberFormat="1" applyFont="1" applyFill="1"/>
    <xf numFmtId="0" fontId="67" fillId="0" borderId="0" xfId="0" applyFont="1" applyAlignment="1">
      <alignment vertical="center"/>
    </xf>
    <xf numFmtId="0" fontId="10" fillId="0" borderId="0" xfId="0" applyFont="1" applyAlignment="1">
      <alignment horizontal="left" vertical="center"/>
    </xf>
    <xf numFmtId="38" fontId="0" fillId="0" borderId="0" xfId="0" applyNumberFormat="1" applyBorder="1" applyAlignment="1">
      <alignment horizontal="center" vertical="center"/>
    </xf>
    <xf numFmtId="9" fontId="0" fillId="0" borderId="0" xfId="164" applyFont="1" applyAlignment="1">
      <alignment horizontal="center"/>
    </xf>
    <xf numFmtId="0" fontId="0" fillId="0" borderId="0" xfId="0" applyAlignment="1">
      <alignment horizontal="left" vertical="top"/>
    </xf>
    <xf numFmtId="0" fontId="10" fillId="0" borderId="0" xfId="0" quotePrefix="1" applyFont="1"/>
    <xf numFmtId="2" fontId="10" fillId="0" borderId="0" xfId="0" applyNumberFormat="1" applyFont="1" applyAlignment="1">
      <alignment horizontal="left"/>
    </xf>
    <xf numFmtId="0" fontId="45" fillId="0" borderId="0" xfId="0" applyFont="1"/>
    <xf numFmtId="0" fontId="48" fillId="0" borderId="0" xfId="0" applyFont="1"/>
    <xf numFmtId="0" fontId="68" fillId="0" borderId="0" xfId="0" applyFont="1"/>
    <xf numFmtId="0" fontId="73" fillId="0" borderId="0" xfId="0" applyFont="1"/>
    <xf numFmtId="0" fontId="74" fillId="0" borderId="0" xfId="0" applyFont="1"/>
    <xf numFmtId="0" fontId="74" fillId="0" borderId="0" xfId="0" applyFont="1" applyAlignment="1">
      <alignment horizontal="left" vertical="center"/>
    </xf>
    <xf numFmtId="0" fontId="74" fillId="0" borderId="0" xfId="0" applyFont="1" applyAlignment="1">
      <alignment horizontal="left" vertical="center" indent="2"/>
    </xf>
    <xf numFmtId="0" fontId="45" fillId="0" borderId="0" xfId="0" applyFont="1" applyAlignment="1">
      <alignment horizontal="right"/>
    </xf>
    <xf numFmtId="0" fontId="77" fillId="0" borderId="0" xfId="0" applyFont="1" applyAlignment="1">
      <alignment horizontal="right"/>
    </xf>
    <xf numFmtId="0" fontId="78" fillId="0" borderId="0" xfId="0" applyFont="1"/>
    <xf numFmtId="9" fontId="0" fillId="0" borderId="0" xfId="0" applyNumberFormat="1" applyAlignment="1">
      <alignment horizontal="center"/>
    </xf>
    <xf numFmtId="0" fontId="10" fillId="0" borderId="0" xfId="0" applyFont="1" applyAlignment="1">
      <alignment horizontal="center"/>
    </xf>
    <xf numFmtId="0" fontId="74" fillId="0" borderId="0" xfId="0" applyFont="1" applyAlignment="1">
      <alignment horizontal="right" vertical="center"/>
    </xf>
    <xf numFmtId="10" fontId="0" fillId="0" borderId="0" xfId="0" applyNumberFormat="1" applyAlignment="1">
      <alignment horizontal="center"/>
    </xf>
    <xf numFmtId="0" fontId="34" fillId="0" borderId="0" xfId="0" applyFont="1"/>
    <xf numFmtId="0" fontId="0" fillId="0" borderId="0" xfId="0" applyAlignment="1">
      <alignment horizontal="right" vertical="center"/>
    </xf>
    <xf numFmtId="168" fontId="0" fillId="0" borderId="0" xfId="0" applyNumberFormat="1" applyBorder="1"/>
    <xf numFmtId="0" fontId="84" fillId="0" borderId="0" xfId="0" applyFont="1" applyAlignment="1">
      <alignment vertical="center"/>
    </xf>
    <xf numFmtId="0" fontId="85" fillId="0" borderId="0" xfId="0" applyFont="1"/>
    <xf numFmtId="0" fontId="0" fillId="21" borderId="0" xfId="0" applyFill="1"/>
    <xf numFmtId="43" fontId="0" fillId="0" borderId="0" xfId="0" applyNumberFormat="1"/>
    <xf numFmtId="43" fontId="0" fillId="0" borderId="0" xfId="0" applyNumberFormat="1" applyBorder="1"/>
    <xf numFmtId="0" fontId="71" fillId="0" borderId="0" xfId="0" applyFont="1"/>
    <xf numFmtId="0" fontId="10" fillId="0" borderId="0" xfId="0" applyFont="1" applyFill="1" applyBorder="1" applyAlignment="1">
      <alignment horizontal="center"/>
    </xf>
    <xf numFmtId="0" fontId="90" fillId="0" borderId="0" xfId="0" applyFont="1"/>
    <xf numFmtId="0" fontId="34" fillId="0" borderId="0" xfId="0" applyFont="1" applyAlignment="1">
      <alignment horizontal="right"/>
    </xf>
    <xf numFmtId="2" fontId="0" fillId="0" borderId="0" xfId="0" applyNumberFormat="1" applyAlignment="1">
      <alignment horizontal="center"/>
    </xf>
    <xf numFmtId="169" fontId="29" fillId="20" borderId="27" xfId="210" applyNumberFormat="1" applyFont="1" applyFill="1" applyBorder="1" applyAlignment="1">
      <alignment horizontal="center" vertical="center" wrapText="1"/>
    </xf>
    <xf numFmtId="38" fontId="29" fillId="20" borderId="27" xfId="210" applyNumberFormat="1" applyFont="1" applyFill="1" applyBorder="1" applyAlignment="1">
      <alignment horizontal="center" vertical="center" wrapText="1"/>
    </xf>
    <xf numFmtId="38" fontId="0" fillId="21" borderId="0" xfId="0" applyNumberFormat="1" applyFill="1" applyBorder="1"/>
    <xf numFmtId="38" fontId="29" fillId="20" borderId="27" xfId="210" applyNumberFormat="1" applyFont="1" applyFill="1" applyBorder="1" applyAlignment="1">
      <alignment horizontal="center" vertical="center"/>
    </xf>
    <xf numFmtId="169" fontId="29" fillId="20" borderId="27" xfId="210" applyNumberFormat="1" applyFont="1" applyFill="1" applyBorder="1" applyAlignment="1">
      <alignment horizontal="left" vertical="center"/>
    </xf>
    <xf numFmtId="10" fontId="29" fillId="20" borderId="28" xfId="164" applyNumberFormat="1" applyFont="1" applyFill="1" applyBorder="1" applyAlignment="1">
      <alignment horizontal="center" vertical="center" wrapText="1"/>
    </xf>
    <xf numFmtId="9" fontId="26" fillId="22" borderId="27" xfId="164" applyFont="1" applyFill="1" applyBorder="1" applyAlignment="1">
      <alignment horizontal="center" vertical="center" wrapText="1"/>
    </xf>
    <xf numFmtId="10" fontId="29" fillId="20" borderId="27" xfId="164" applyNumberFormat="1" applyFont="1" applyFill="1" applyBorder="1" applyAlignment="1">
      <alignment horizontal="center" vertical="center" wrapText="1"/>
    </xf>
    <xf numFmtId="169" fontId="28" fillId="22" borderId="27" xfId="210" applyNumberFormat="1" applyFont="1" applyFill="1" applyBorder="1" applyAlignment="1">
      <alignment horizontal="center" vertical="center" wrapText="1"/>
    </xf>
    <xf numFmtId="9" fontId="0" fillId="0" borderId="0" xfId="164" applyFont="1" applyAlignment="1">
      <alignment horizontal="center" vertical="center"/>
    </xf>
    <xf numFmtId="0" fontId="80" fillId="0" borderId="0" xfId="0" applyFont="1" applyAlignment="1">
      <alignment horizontal="right"/>
    </xf>
    <xf numFmtId="0" fontId="25" fillId="21" borderId="29" xfId="0" applyFont="1" applyFill="1" applyBorder="1"/>
    <xf numFmtId="3" fontId="25" fillId="21" borderId="29" xfId="0" applyNumberFormat="1" applyFont="1" applyFill="1" applyBorder="1" applyAlignment="1">
      <alignment horizontal="center" vertical="center"/>
    </xf>
    <xf numFmtId="0" fontId="25" fillId="23" borderId="26" xfId="0" applyFont="1" applyFill="1" applyBorder="1"/>
    <xf numFmtId="172" fontId="25" fillId="23" borderId="24" xfId="0" applyNumberFormat="1" applyFont="1" applyFill="1" applyBorder="1" applyAlignment="1">
      <alignment horizontal="center" vertical="center"/>
    </xf>
    <xf numFmtId="172" fontId="25" fillId="23" borderId="0" xfId="0" applyNumberFormat="1" applyFont="1" applyFill="1" applyAlignment="1">
      <alignment horizontal="center"/>
    </xf>
    <xf numFmtId="0" fontId="10" fillId="21" borderId="0" xfId="0" applyFont="1" applyFill="1"/>
    <xf numFmtId="3" fontId="0" fillId="0" borderId="23" xfId="0" applyNumberFormat="1" applyBorder="1" applyAlignment="1">
      <alignment horizontal="center" vertical="center"/>
    </xf>
    <xf numFmtId="0" fontId="25" fillId="24" borderId="30" xfId="0" applyFont="1" applyFill="1" applyBorder="1"/>
    <xf numFmtId="3" fontId="25" fillId="24" borderId="30" xfId="0" applyNumberFormat="1" applyFont="1" applyFill="1" applyBorder="1" applyAlignment="1">
      <alignment horizontal="center" vertical="center"/>
    </xf>
    <xf numFmtId="0" fontId="46" fillId="0" borderId="0" xfId="0" applyFont="1" applyAlignment="1">
      <alignment horizontal="left"/>
    </xf>
    <xf numFmtId="0" fontId="0" fillId="0" borderId="0" xfId="0" applyAlignment="1"/>
    <xf numFmtId="38" fontId="0" fillId="0" borderId="0" xfId="0" applyNumberFormat="1" applyBorder="1" applyAlignment="1">
      <alignment horizontal="center"/>
    </xf>
    <xf numFmtId="173" fontId="0" fillId="0" borderId="0" xfId="0" applyNumberFormat="1" applyAlignment="1">
      <alignment horizontal="center"/>
    </xf>
    <xf numFmtId="38" fontId="0" fillId="0" borderId="0" xfId="0" applyNumberFormat="1" applyAlignment="1">
      <alignment horizontal="center"/>
    </xf>
    <xf numFmtId="0" fontId="94" fillId="0" borderId="0" xfId="0" applyFont="1"/>
    <xf numFmtId="0" fontId="42" fillId="0" borderId="0" xfId="0" applyFont="1" applyAlignment="1">
      <alignment horizontal="center"/>
    </xf>
    <xf numFmtId="0" fontId="69" fillId="0" borderId="0" xfId="0" applyFont="1"/>
    <xf numFmtId="164" fontId="0" fillId="0" borderId="0" xfId="210" applyFont="1"/>
    <xf numFmtId="0" fontId="96" fillId="0" borderId="0" xfId="0" applyFont="1"/>
    <xf numFmtId="0" fontId="97" fillId="0" borderId="0" xfId="0" applyFont="1" applyAlignment="1">
      <alignment horizontal="center"/>
    </xf>
    <xf numFmtId="0" fontId="98" fillId="0" borderId="0" xfId="0" applyFont="1" applyAlignment="1">
      <alignment horizontal="center"/>
    </xf>
    <xf numFmtId="4" fontId="0" fillId="0" borderId="31" xfId="0" applyNumberFormat="1" applyBorder="1"/>
    <xf numFmtId="0" fontId="32" fillId="0" borderId="0" xfId="42" applyAlignment="1" applyProtection="1"/>
    <xf numFmtId="0" fontId="75" fillId="0" borderId="0" xfId="0" applyFont="1" applyAlignment="1">
      <alignment horizontal="center" vertical="center"/>
    </xf>
    <xf numFmtId="0" fontId="77" fillId="0" borderId="0" xfId="0" applyFont="1" applyAlignment="1">
      <alignment horizontal="center"/>
    </xf>
    <xf numFmtId="4" fontId="10" fillId="0" borderId="0" xfId="0" applyNumberFormat="1" applyFont="1"/>
    <xf numFmtId="9" fontId="0" fillId="0" borderId="0" xfId="0" applyNumberFormat="1"/>
    <xf numFmtId="0" fontId="12" fillId="0" borderId="22" xfId="0" applyFont="1" applyBorder="1"/>
    <xf numFmtId="172" fontId="12" fillId="0" borderId="22" xfId="0" applyNumberFormat="1" applyFont="1" applyBorder="1" applyAlignment="1">
      <alignment horizontal="center"/>
    </xf>
    <xf numFmtId="0" fontId="100" fillId="0" borderId="9" xfId="0" applyFont="1" applyFill="1" applyBorder="1" applyAlignment="1">
      <alignment horizontal="left"/>
    </xf>
    <xf numFmtId="2" fontId="11" fillId="0" borderId="0" xfId="0" applyNumberFormat="1" applyFont="1" applyBorder="1" applyAlignment="1">
      <alignment horizontal="center"/>
    </xf>
    <xf numFmtId="0" fontId="102" fillId="0" borderId="0" xfId="0" applyFont="1"/>
    <xf numFmtId="0" fontId="51" fillId="0" borderId="0" xfId="0" applyFont="1" applyAlignment="1">
      <alignment horizontal="center"/>
    </xf>
    <xf numFmtId="0" fontId="45" fillId="0" borderId="0" xfId="0" applyFont="1" applyAlignment="1">
      <alignment horizontal="center"/>
    </xf>
    <xf numFmtId="1" fontId="11" fillId="0" borderId="22" xfId="0" applyNumberFormat="1" applyFont="1" applyBorder="1" applyAlignment="1">
      <alignment horizontal="center"/>
    </xf>
    <xf numFmtId="10" fontId="10" fillId="0" borderId="0" xfId="0" applyNumberFormat="1" applyFont="1" applyAlignment="1">
      <alignment horizontal="left"/>
    </xf>
    <xf numFmtId="0" fontId="42" fillId="0" borderId="0" xfId="0" applyFont="1" applyAlignment="1"/>
    <xf numFmtId="10" fontId="42" fillId="0" borderId="0" xfId="0" applyNumberFormat="1" applyFont="1" applyAlignment="1">
      <alignment horizontal="center"/>
    </xf>
    <xf numFmtId="9" fontId="42" fillId="0" borderId="0" xfId="0" applyNumberFormat="1" applyFont="1" applyAlignment="1">
      <alignment horizontal="center"/>
    </xf>
    <xf numFmtId="0" fontId="25" fillId="0" borderId="0" xfId="0" applyFont="1" applyAlignment="1">
      <alignment horizontal="right"/>
    </xf>
    <xf numFmtId="40" fontId="0" fillId="0" borderId="0" xfId="0" applyNumberFormat="1" applyAlignment="1">
      <alignment horizontal="center"/>
    </xf>
    <xf numFmtId="10" fontId="10" fillId="0" borderId="0" xfId="0" applyNumberFormat="1" applyFont="1" applyAlignment="1">
      <alignment horizontal="center"/>
    </xf>
    <xf numFmtId="0" fontId="34" fillId="0" borderId="0" xfId="0" applyFont="1" applyAlignment="1">
      <alignment vertical="center"/>
    </xf>
    <xf numFmtId="0" fontId="42" fillId="0" borderId="0" xfId="0" applyFont="1" applyAlignment="1">
      <alignment vertical="center"/>
    </xf>
    <xf numFmtId="9" fontId="45" fillId="0" borderId="0" xfId="0" applyNumberFormat="1" applyFont="1" applyAlignment="1">
      <alignment horizontal="center"/>
    </xf>
    <xf numFmtId="0" fontId="110" fillId="0" borderId="0" xfId="0" applyFont="1" applyAlignment="1">
      <alignment vertical="center"/>
    </xf>
    <xf numFmtId="10" fontId="0" fillId="0" borderId="0" xfId="0" applyNumberFormat="1" applyAlignment="1">
      <alignment horizontal="left"/>
    </xf>
    <xf numFmtId="0" fontId="111" fillId="0" borderId="0" xfId="0" applyFont="1"/>
    <xf numFmtId="174" fontId="0" fillId="0" borderId="0" xfId="0" applyNumberFormat="1" applyAlignment="1">
      <alignment horizontal="center"/>
    </xf>
    <xf numFmtId="173" fontId="25" fillId="0" borderId="0" xfId="0" applyNumberFormat="1" applyFont="1"/>
    <xf numFmtId="10" fontId="25" fillId="0" borderId="0" xfId="0" applyNumberFormat="1" applyFont="1" applyAlignment="1">
      <alignment horizontal="center"/>
    </xf>
    <xf numFmtId="9" fontId="10" fillId="0" borderId="0" xfId="0" applyNumberFormat="1" applyFont="1" applyAlignment="1">
      <alignment horizontal="center"/>
    </xf>
    <xf numFmtId="0" fontId="115" fillId="25" borderId="17" xfId="0" applyFont="1" applyFill="1" applyBorder="1" applyAlignment="1">
      <alignment horizontal="center" vertical="center"/>
    </xf>
    <xf numFmtId="38" fontId="68" fillId="0" borderId="0" xfId="0" applyNumberFormat="1" applyFont="1"/>
    <xf numFmtId="0" fontId="25" fillId="0" borderId="0" xfId="0" applyFont="1" applyFill="1"/>
    <xf numFmtId="3" fontId="116" fillId="0" borderId="0" xfId="0" applyNumberFormat="1" applyFont="1" applyFill="1"/>
    <xf numFmtId="3" fontId="93" fillId="0" borderId="0" xfId="0" applyNumberFormat="1" applyFont="1" applyFill="1"/>
    <xf numFmtId="169" fontId="93" fillId="0" borderId="0" xfId="211" applyNumberFormat="1" applyFont="1" applyFill="1" applyBorder="1" applyAlignment="1">
      <alignment horizontal="left" wrapText="1"/>
    </xf>
    <xf numFmtId="3" fontId="116" fillId="0" borderId="0" xfId="0" applyNumberFormat="1" applyFont="1"/>
    <xf numFmtId="3" fontId="93" fillId="0" borderId="0" xfId="0" applyNumberFormat="1" applyFont="1"/>
    <xf numFmtId="3" fontId="93" fillId="0" borderId="32" xfId="0" applyNumberFormat="1" applyFont="1" applyBorder="1"/>
    <xf numFmtId="3" fontId="93" fillId="0" borderId="33" xfId="0" applyNumberFormat="1" applyFont="1" applyBorder="1"/>
    <xf numFmtId="3" fontId="93" fillId="0" borderId="34" xfId="0" applyNumberFormat="1" applyFont="1" applyBorder="1"/>
    <xf numFmtId="169" fontId="68" fillId="0" borderId="35" xfId="211" applyNumberFormat="1" applyFont="1" applyFill="1" applyBorder="1" applyAlignment="1"/>
    <xf numFmtId="3" fontId="93" fillId="0" borderId="36" xfId="0" applyNumberFormat="1" applyFont="1" applyBorder="1"/>
    <xf numFmtId="3" fontId="93" fillId="0" borderId="37" xfId="0" applyNumberFormat="1" applyFont="1" applyBorder="1"/>
    <xf numFmtId="169" fontId="93" fillId="0" borderId="35" xfId="211" applyNumberFormat="1" applyFont="1" applyFill="1" applyBorder="1" applyAlignment="1"/>
    <xf numFmtId="3" fontId="93" fillId="26" borderId="36" xfId="0" applyNumberFormat="1" applyFont="1" applyFill="1" applyBorder="1"/>
    <xf numFmtId="3" fontId="68" fillId="0" borderId="36" xfId="0" applyNumberFormat="1" applyFont="1" applyBorder="1" applyAlignment="1">
      <alignment horizontal="center"/>
    </xf>
    <xf numFmtId="169" fontId="68" fillId="0" borderId="34" xfId="211" applyNumberFormat="1" applyFont="1" applyFill="1" applyBorder="1" applyAlignment="1"/>
    <xf numFmtId="3" fontId="93" fillId="0" borderId="36" xfId="0" applyNumberFormat="1" applyFont="1" applyFill="1" applyBorder="1"/>
    <xf numFmtId="3" fontId="35" fillId="0" borderId="0" xfId="0" applyNumberFormat="1" applyFont="1"/>
    <xf numFmtId="3" fontId="68" fillId="0" borderId="0" xfId="0" applyNumberFormat="1" applyFont="1"/>
    <xf numFmtId="3" fontId="68" fillId="0" borderId="25" xfId="0" applyNumberFormat="1" applyFont="1" applyBorder="1"/>
    <xf numFmtId="3" fontId="68" fillId="26" borderId="36" xfId="0" applyNumberFormat="1" applyFont="1" applyFill="1" applyBorder="1"/>
    <xf numFmtId="3" fontId="93" fillId="0" borderId="25" xfId="0" applyNumberFormat="1" applyFont="1" applyFill="1" applyBorder="1"/>
    <xf numFmtId="9" fontId="35" fillId="0" borderId="0" xfId="165" applyFont="1"/>
    <xf numFmtId="9" fontId="68" fillId="0" borderId="0" xfId="165" applyFont="1"/>
    <xf numFmtId="9" fontId="68" fillId="0" borderId="25" xfId="165" applyFont="1" applyBorder="1"/>
    <xf numFmtId="0" fontId="68" fillId="0" borderId="33" xfId="0" applyFont="1" applyBorder="1" applyAlignment="1"/>
    <xf numFmtId="169" fontId="68" fillId="0" borderId="34" xfId="211" applyNumberFormat="1" applyFont="1" applyBorder="1" applyAlignment="1"/>
    <xf numFmtId="9" fontId="68" fillId="26" borderId="36" xfId="165" applyFont="1" applyFill="1" applyBorder="1"/>
    <xf numFmtId="3" fontId="93" fillId="0" borderId="25" xfId="0" applyNumberFormat="1" applyFont="1" applyBorder="1"/>
    <xf numFmtId="0" fontId="93" fillId="0" borderId="33" xfId="0" applyFont="1" applyBorder="1" applyAlignment="1"/>
    <xf numFmtId="0" fontId="35" fillId="0" borderId="0" xfId="0" applyFont="1"/>
    <xf numFmtId="10" fontId="93" fillId="25" borderId="22" xfId="165" applyNumberFormat="1" applyFont="1" applyFill="1" applyBorder="1"/>
    <xf numFmtId="0" fontId="93" fillId="0" borderId="0" xfId="0" applyFont="1"/>
    <xf numFmtId="4" fontId="93" fillId="27" borderId="35" xfId="0" applyNumberFormat="1" applyFont="1" applyFill="1" applyBorder="1" applyAlignment="1">
      <alignment horizontal="center"/>
    </xf>
    <xf numFmtId="0" fontId="93" fillId="0" borderId="0" xfId="0" applyFont="1" applyAlignment="1">
      <alignment horizontal="right"/>
    </xf>
    <xf numFmtId="0" fontId="93" fillId="0" borderId="0" xfId="0" applyFont="1" applyAlignment="1">
      <alignment horizontal="center"/>
    </xf>
    <xf numFmtId="3" fontId="68" fillId="27" borderId="35" xfId="0" applyNumberFormat="1" applyFont="1" applyFill="1" applyBorder="1"/>
    <xf numFmtId="0" fontId="117" fillId="0" borderId="0" xfId="0" applyFont="1" applyFill="1" applyAlignment="1">
      <alignment horizontal="center"/>
    </xf>
    <xf numFmtId="0" fontId="118" fillId="0" borderId="0" xfId="0" applyFont="1" applyFill="1" applyAlignment="1">
      <alignment horizontal="center"/>
    </xf>
    <xf numFmtId="2" fontId="116" fillId="17" borderId="35" xfId="0" applyNumberFormat="1" applyFont="1" applyFill="1" applyBorder="1" applyAlignment="1">
      <alignment horizontal="center"/>
    </xf>
    <xf numFmtId="10" fontId="0" fillId="17" borderId="35" xfId="165" applyNumberFormat="1" applyFont="1" applyFill="1" applyBorder="1" applyAlignment="1">
      <alignment horizontal="center"/>
    </xf>
    <xf numFmtId="2" fontId="116" fillId="27" borderId="35" xfId="0" applyNumberFormat="1" applyFont="1" applyFill="1" applyBorder="1" applyAlignment="1">
      <alignment horizontal="center"/>
    </xf>
    <xf numFmtId="10" fontId="0" fillId="27" borderId="35" xfId="165" applyNumberFormat="1" applyFont="1" applyFill="1" applyBorder="1" applyAlignment="1">
      <alignment horizontal="center"/>
    </xf>
    <xf numFmtId="2" fontId="35" fillId="0" borderId="35" xfId="0" applyNumberFormat="1" applyFont="1" applyBorder="1" applyAlignment="1">
      <alignment horizontal="center"/>
    </xf>
    <xf numFmtId="9" fontId="35" fillId="0" borderId="35" xfId="165" applyFont="1" applyBorder="1" applyAlignment="1">
      <alignment horizontal="center"/>
    </xf>
    <xf numFmtId="0" fontId="25" fillId="23" borderId="35" xfId="0" applyFont="1" applyFill="1" applyBorder="1" applyAlignment="1">
      <alignment horizontal="center"/>
    </xf>
    <xf numFmtId="2" fontId="35" fillId="0" borderId="0" xfId="0" applyNumberFormat="1" applyFont="1"/>
    <xf numFmtId="10" fontId="116" fillId="0" borderId="0" xfId="0" applyNumberFormat="1" applyFont="1"/>
    <xf numFmtId="0" fontId="0" fillId="0" borderId="38" xfId="0" applyBorder="1"/>
    <xf numFmtId="2" fontId="25" fillId="13" borderId="5" xfId="0" applyNumberFormat="1" applyFont="1" applyFill="1" applyBorder="1" applyAlignment="1">
      <alignment horizontal="center" wrapText="1"/>
    </xf>
    <xf numFmtId="0" fontId="25" fillId="13" borderId="5" xfId="0" applyFont="1" applyFill="1" applyBorder="1" applyAlignment="1">
      <alignment horizontal="center" wrapText="1"/>
    </xf>
    <xf numFmtId="0" fontId="119" fillId="0" borderId="39" xfId="0" applyFont="1" applyBorder="1" applyAlignment="1">
      <alignment horizontal="center" wrapText="1"/>
    </xf>
    <xf numFmtId="0" fontId="119" fillId="0" borderId="40" xfId="0" applyFont="1" applyBorder="1" applyAlignment="1">
      <alignment horizontal="center" wrapText="1"/>
    </xf>
    <xf numFmtId="0" fontId="25" fillId="0" borderId="12" xfId="0" applyFont="1" applyBorder="1" applyAlignment="1">
      <alignment wrapText="1"/>
    </xf>
    <xf numFmtId="0" fontId="120" fillId="0" borderId="40" xfId="0" applyFont="1" applyBorder="1" applyAlignment="1">
      <alignment horizontal="center" wrapText="1"/>
    </xf>
    <xf numFmtId="0" fontId="10" fillId="28" borderId="5" xfId="0" applyFont="1" applyFill="1" applyBorder="1" applyAlignment="1">
      <alignment horizontal="center" vertical="center" wrapText="1"/>
    </xf>
    <xf numFmtId="0" fontId="0" fillId="28" borderId="5" xfId="0" applyFill="1" applyBorder="1" applyAlignment="1">
      <alignment vertical="center" wrapText="1"/>
    </xf>
    <xf numFmtId="0" fontId="120" fillId="21" borderId="5" xfId="0" applyFont="1" applyFill="1" applyBorder="1" applyAlignment="1">
      <alignment horizontal="center" wrapText="1"/>
    </xf>
    <xf numFmtId="0" fontId="121" fillId="21" borderId="5" xfId="0" applyFont="1" applyFill="1" applyBorder="1" applyAlignment="1">
      <alignment horizontal="center" wrapText="1"/>
    </xf>
    <xf numFmtId="0" fontId="122" fillId="0" borderId="0" xfId="0" applyFont="1"/>
    <xf numFmtId="10" fontId="35" fillId="27" borderId="0" xfId="0" applyNumberFormat="1" applyFont="1" applyFill="1"/>
    <xf numFmtId="10" fontId="35" fillId="27" borderId="0" xfId="165" applyNumberFormat="1" applyFont="1" applyFill="1"/>
    <xf numFmtId="41" fontId="10" fillId="28" borderId="5" xfId="0" applyNumberFormat="1" applyFont="1" applyFill="1" applyBorder="1" applyAlignment="1">
      <alignment horizontal="center" vertical="center" wrapText="1"/>
    </xf>
    <xf numFmtId="0" fontId="118" fillId="0" borderId="0" xfId="0" applyFont="1" applyFill="1" applyAlignment="1">
      <alignment horizontal="left"/>
    </xf>
    <xf numFmtId="0" fontId="123" fillId="0" borderId="0" xfId="0" applyFont="1"/>
    <xf numFmtId="0" fontId="116" fillId="29" borderId="12" xfId="0" applyFont="1" applyFill="1" applyBorder="1" applyAlignment="1">
      <alignment horizontal="center" wrapText="1"/>
    </xf>
    <xf numFmtId="0" fontId="116" fillId="30" borderId="12" xfId="0" applyFont="1" applyFill="1" applyBorder="1" applyAlignment="1">
      <alignment horizontal="center" wrapText="1"/>
    </xf>
    <xf numFmtId="0" fontId="116" fillId="25" borderId="12" xfId="0" applyFont="1" applyFill="1" applyBorder="1" applyAlignment="1">
      <alignment horizontal="center" wrapText="1"/>
    </xf>
    <xf numFmtId="0" fontId="116" fillId="23" borderId="12" xfId="0" applyFont="1" applyFill="1" applyBorder="1" applyAlignment="1">
      <alignment horizontal="center" wrapText="1"/>
    </xf>
    <xf numFmtId="0" fontId="35" fillId="29" borderId="39" xfId="0" applyFont="1" applyFill="1" applyBorder="1" applyAlignment="1">
      <alignment horizontal="center" wrapText="1"/>
    </xf>
    <xf numFmtId="0" fontId="35" fillId="30" borderId="39" xfId="0" applyFont="1" applyFill="1" applyBorder="1" applyAlignment="1">
      <alignment horizontal="center" wrapText="1"/>
    </xf>
    <xf numFmtId="0" fontId="35" fillId="25" borderId="39" xfId="0" applyFont="1" applyFill="1" applyBorder="1" applyAlignment="1">
      <alignment horizontal="center" wrapText="1"/>
    </xf>
    <xf numFmtId="0" fontId="35" fillId="23" borderId="39" xfId="0" applyFont="1" applyFill="1" applyBorder="1" applyAlignment="1">
      <alignment horizontal="center" wrapText="1"/>
    </xf>
    <xf numFmtId="0" fontId="0" fillId="0" borderId="41" xfId="0" applyBorder="1"/>
    <xf numFmtId="0" fontId="0" fillId="0" borderId="42" xfId="0" applyBorder="1"/>
    <xf numFmtId="0" fontId="0" fillId="0" borderId="43" xfId="0" applyBorder="1"/>
    <xf numFmtId="0" fontId="124" fillId="0" borderId="44" xfId="0" applyFont="1" applyBorder="1"/>
    <xf numFmtId="0" fontId="124" fillId="0" borderId="45" xfId="0" applyFont="1" applyBorder="1"/>
    <xf numFmtId="0" fontId="0" fillId="0" borderId="45" xfId="0" applyBorder="1"/>
    <xf numFmtId="0" fontId="124" fillId="0" borderId="46" xfId="0" applyFont="1" applyBorder="1"/>
    <xf numFmtId="0" fontId="124" fillId="0" borderId="0" xfId="0" applyFont="1" applyBorder="1"/>
    <xf numFmtId="0" fontId="124" fillId="0" borderId="47" xfId="0" applyFont="1" applyBorder="1"/>
    <xf numFmtId="0" fontId="124" fillId="0" borderId="31" xfId="0" applyFont="1" applyBorder="1"/>
    <xf numFmtId="0" fontId="0" fillId="0" borderId="31" xfId="0" applyBorder="1"/>
    <xf numFmtId="0" fontId="125" fillId="27" borderId="46" xfId="0" applyFont="1" applyFill="1" applyBorder="1"/>
    <xf numFmtId="0" fontId="125" fillId="27" borderId="0" xfId="0" applyFont="1" applyFill="1" applyBorder="1"/>
    <xf numFmtId="0" fontId="126" fillId="27" borderId="0" xfId="0" applyFont="1" applyFill="1" applyBorder="1"/>
    <xf numFmtId="0" fontId="126" fillId="27" borderId="42" xfId="0" applyFont="1" applyFill="1" applyBorder="1"/>
    <xf numFmtId="10" fontId="25" fillId="0" borderId="0" xfId="0" applyNumberFormat="1" applyFont="1"/>
    <xf numFmtId="0" fontId="25" fillId="0" borderId="0" xfId="0" applyFont="1" applyAlignment="1">
      <alignment horizontal="center" vertical="center"/>
    </xf>
    <xf numFmtId="0" fontId="15" fillId="0" borderId="13" xfId="0" applyFont="1" applyBorder="1" applyAlignment="1">
      <alignment horizontal="center" vertical="center" wrapText="1"/>
    </xf>
    <xf numFmtId="0" fontId="130" fillId="0" borderId="0" xfId="0" applyFont="1"/>
    <xf numFmtId="0" fontId="130" fillId="0" borderId="0" xfId="0" applyFont="1" applyAlignment="1">
      <alignment horizontal="centerContinuous"/>
    </xf>
    <xf numFmtId="0" fontId="131" fillId="0" borderId="0" xfId="0" applyFont="1"/>
    <xf numFmtId="0" fontId="132" fillId="0" borderId="44" xfId="0" applyFont="1" applyBorder="1" applyAlignment="1">
      <alignment horizontal="centerContinuous"/>
    </xf>
    <xf numFmtId="0" fontId="132" fillId="0" borderId="45" xfId="0" applyFont="1" applyBorder="1" applyAlignment="1">
      <alignment horizontal="centerContinuous"/>
    </xf>
    <xf numFmtId="0" fontId="133" fillId="0" borderId="45" xfId="0" applyFont="1" applyBorder="1" applyAlignment="1">
      <alignment horizontal="centerContinuous"/>
    </xf>
    <xf numFmtId="0" fontId="130" fillId="0" borderId="41" xfId="0" applyFont="1" applyBorder="1" applyAlignment="1">
      <alignment horizontal="centerContinuous"/>
    </xf>
    <xf numFmtId="0" fontId="132" fillId="0" borderId="46" xfId="0" applyFont="1" applyBorder="1" applyAlignment="1">
      <alignment horizontal="centerContinuous"/>
    </xf>
    <xf numFmtId="0" fontId="132" fillId="0" borderId="0" xfId="0" applyFont="1" applyBorder="1" applyAlignment="1">
      <alignment horizontal="centerContinuous"/>
    </xf>
    <xf numFmtId="0" fontId="133" fillId="0" borderId="0" xfId="0" applyFont="1" applyBorder="1" applyAlignment="1">
      <alignment horizontal="centerContinuous"/>
    </xf>
    <xf numFmtId="0" fontId="130" fillId="0" borderId="42" xfId="0" applyFont="1" applyBorder="1" applyAlignment="1">
      <alignment horizontal="centerContinuous"/>
    </xf>
    <xf numFmtId="0" fontId="132" fillId="0" borderId="47" xfId="0" applyFont="1" applyBorder="1" applyAlignment="1">
      <alignment horizontal="centerContinuous"/>
    </xf>
    <xf numFmtId="0" fontId="132" fillId="0" borderId="31" xfId="0" applyFont="1" applyBorder="1" applyAlignment="1">
      <alignment horizontal="centerContinuous"/>
    </xf>
    <xf numFmtId="0" fontId="133" fillId="0" borderId="31" xfId="0" applyFont="1" applyBorder="1" applyAlignment="1">
      <alignment horizontal="centerContinuous"/>
    </xf>
    <xf numFmtId="0" fontId="130" fillId="0" borderId="43" xfId="0" applyFont="1" applyBorder="1" applyAlignment="1">
      <alignment horizontal="centerContinuous"/>
    </xf>
    <xf numFmtId="0" fontId="10" fillId="0" borderId="0" xfId="0" applyFont="1" applyAlignment="1"/>
    <xf numFmtId="0" fontId="46" fillId="0" borderId="0" xfId="0" applyFont="1" applyAlignment="1"/>
    <xf numFmtId="0" fontId="25" fillId="0" borderId="0" xfId="0" applyFont="1" applyAlignment="1"/>
    <xf numFmtId="0" fontId="45" fillId="0" borderId="0" xfId="0" applyFont="1" applyAlignment="1"/>
    <xf numFmtId="10" fontId="10" fillId="25" borderId="22" xfId="0" applyNumberFormat="1" applyFont="1" applyFill="1" applyBorder="1" applyAlignment="1">
      <alignment horizontal="center"/>
    </xf>
    <xf numFmtId="0" fontId="10" fillId="25" borderId="22" xfId="0" applyFont="1" applyFill="1" applyBorder="1" applyAlignment="1">
      <alignment horizontal="center"/>
    </xf>
    <xf numFmtId="10" fontId="10" fillId="26" borderId="22" xfId="0" applyNumberFormat="1" applyFont="1" applyFill="1" applyBorder="1" applyAlignment="1">
      <alignment horizontal="center"/>
    </xf>
    <xf numFmtId="9" fontId="10" fillId="25" borderId="22" xfId="0" applyNumberFormat="1" applyFont="1" applyFill="1" applyBorder="1" applyAlignment="1">
      <alignment horizontal="center"/>
    </xf>
    <xf numFmtId="0" fontId="10" fillId="0" borderId="0" xfId="0" applyFont="1" applyBorder="1" applyAlignment="1"/>
    <xf numFmtId="176" fontId="25" fillId="0" borderId="0" xfId="0" applyNumberFormat="1" applyFont="1" applyProtection="1"/>
    <xf numFmtId="175" fontId="10" fillId="0" borderId="0" xfId="0" applyNumberFormat="1" applyFont="1"/>
    <xf numFmtId="10" fontId="10" fillId="0" borderId="0" xfId="0" applyNumberFormat="1" applyFont="1" applyAlignment="1" applyProtection="1">
      <alignment horizontal="center"/>
    </xf>
    <xf numFmtId="0" fontId="10" fillId="0" borderId="3" xfId="0" applyFont="1" applyBorder="1"/>
    <xf numFmtId="0" fontId="15" fillId="0" borderId="0" xfId="0" applyFont="1" applyBorder="1" applyAlignment="1">
      <alignment horizontal="center" vertical="center" wrapText="1"/>
    </xf>
    <xf numFmtId="9" fontId="10" fillId="25" borderId="48" xfId="204" applyNumberFormat="1" applyFont="1" applyFill="1" applyBorder="1" applyAlignment="1">
      <alignment horizontal="center"/>
    </xf>
    <xf numFmtId="0" fontId="10" fillId="25" borderId="48" xfId="0" applyFont="1" applyFill="1" applyBorder="1" applyAlignment="1">
      <alignment horizontal="center"/>
    </xf>
    <xf numFmtId="9" fontId="10" fillId="25" borderId="48" xfId="0" applyNumberFormat="1" applyFont="1" applyFill="1" applyBorder="1" applyAlignment="1">
      <alignment horizontal="center"/>
    </xf>
    <xf numFmtId="0" fontId="25" fillId="0" borderId="0" xfId="0" applyFont="1" applyAlignment="1">
      <alignment horizontal="center" wrapText="1"/>
    </xf>
    <xf numFmtId="0" fontId="25" fillId="0" borderId="0" xfId="0" applyFont="1" applyAlignment="1">
      <alignment wrapText="1"/>
    </xf>
    <xf numFmtId="0" fontId="25" fillId="0" borderId="0" xfId="0" applyFont="1" applyAlignment="1">
      <alignment horizontal="center" vertical="center" wrapText="1"/>
    </xf>
    <xf numFmtId="174" fontId="23" fillId="0" borderId="0" xfId="0" applyNumberFormat="1" applyFont="1" applyBorder="1" applyAlignment="1">
      <alignment horizontal="center" vertical="center"/>
    </xf>
    <xf numFmtId="0" fontId="15" fillId="0" borderId="0" xfId="0" applyFont="1" applyFill="1" applyBorder="1" applyAlignment="1">
      <alignment horizontal="center" vertical="center" wrapText="1"/>
    </xf>
    <xf numFmtId="3" fontId="10" fillId="0" borderId="0" xfId="0" applyNumberFormat="1" applyFont="1"/>
    <xf numFmtId="0" fontId="25" fillId="0" borderId="0" xfId="0" applyFont="1" applyAlignment="1">
      <alignment vertical="center"/>
    </xf>
    <xf numFmtId="38" fontId="10" fillId="0" borderId="0" xfId="0" applyNumberFormat="1" applyFont="1" applyAlignment="1"/>
    <xf numFmtId="38" fontId="10" fillId="15" borderId="0" xfId="0" applyNumberFormat="1" applyFont="1" applyFill="1" applyAlignment="1">
      <alignment horizontal="center"/>
    </xf>
    <xf numFmtId="0" fontId="34" fillId="15" borderId="0" xfId="0" applyFont="1" applyFill="1" applyAlignment="1">
      <alignment horizontal="right"/>
    </xf>
    <xf numFmtId="3" fontId="0" fillId="0" borderId="0" xfId="164" applyNumberFormat="1" applyFont="1" applyAlignment="1">
      <alignment horizontal="center"/>
    </xf>
    <xf numFmtId="0" fontId="25" fillId="15" borderId="0" xfId="0" applyFont="1" applyFill="1" applyAlignment="1">
      <alignment horizontal="center"/>
    </xf>
    <xf numFmtId="38" fontId="0" fillId="15" borderId="0" xfId="0" applyNumberFormat="1" applyFill="1" applyAlignment="1">
      <alignment horizontal="center"/>
    </xf>
    <xf numFmtId="0" fontId="0" fillId="15" borderId="0" xfId="0" applyFill="1"/>
    <xf numFmtId="174" fontId="0" fillId="15" borderId="0" xfId="0" applyNumberFormat="1" applyFill="1" applyAlignment="1">
      <alignment horizontal="left"/>
    </xf>
    <xf numFmtId="178" fontId="25" fillId="15" borderId="0" xfId="164" applyNumberFormat="1" applyFont="1" applyFill="1" applyAlignment="1">
      <alignment horizontal="right"/>
    </xf>
    <xf numFmtId="0" fontId="25" fillId="15" borderId="0" xfId="0" applyFont="1" applyFill="1" applyAlignment="1">
      <alignment horizontal="right"/>
    </xf>
    <xf numFmtId="173" fontId="10" fillId="0" borderId="0" xfId="0" applyNumberFormat="1" applyFont="1"/>
    <xf numFmtId="3" fontId="35" fillId="27" borderId="35" xfId="0" applyNumberFormat="1" applyFont="1" applyFill="1" applyBorder="1"/>
    <xf numFmtId="0" fontId="0" fillId="21" borderId="0" xfId="0" applyFill="1" applyBorder="1" applyAlignment="1">
      <alignment horizontal="center" wrapText="1"/>
    </xf>
    <xf numFmtId="0" fontId="25" fillId="13" borderId="49" xfId="0" applyFont="1" applyFill="1" applyBorder="1" applyAlignment="1">
      <alignment horizontal="left" wrapText="1"/>
    </xf>
    <xf numFmtId="0" fontId="0" fillId="13" borderId="50" xfId="0" applyFill="1" applyBorder="1" applyAlignment="1">
      <alignment horizontal="center" wrapText="1"/>
    </xf>
    <xf numFmtId="0" fontId="25" fillId="13" borderId="51" xfId="0" applyFont="1" applyFill="1" applyBorder="1" applyAlignment="1">
      <alignment horizontal="center" wrapText="1"/>
    </xf>
    <xf numFmtId="2" fontId="25" fillId="13" borderId="12" xfId="0" applyNumberFormat="1" applyFont="1" applyFill="1" applyBorder="1" applyAlignment="1">
      <alignment horizontal="center" wrapText="1"/>
    </xf>
    <xf numFmtId="0" fontId="10" fillId="0" borderId="0" xfId="0" applyFont="1" applyAlignment="1">
      <alignment vertical="center" wrapText="1"/>
    </xf>
    <xf numFmtId="0" fontId="131" fillId="0" borderId="0" xfId="0" applyFont="1" applyAlignment="1">
      <alignment vertical="top"/>
    </xf>
    <xf numFmtId="0" fontId="132" fillId="0" borderId="44" xfId="0" applyFont="1" applyBorder="1" applyAlignment="1">
      <alignment horizontal="centerContinuous" vertical="top"/>
    </xf>
    <xf numFmtId="0" fontId="132" fillId="0" borderId="46" xfId="0" applyFont="1" applyBorder="1" applyAlignment="1">
      <alignment horizontal="centerContinuous" vertical="top"/>
    </xf>
    <xf numFmtId="0" fontId="132" fillId="0" borderId="47" xfId="0" applyFont="1" applyBorder="1" applyAlignment="1">
      <alignment horizontal="centerContinuous" vertical="top"/>
    </xf>
    <xf numFmtId="0" fontId="10" fillId="0" borderId="0" xfId="0" applyFont="1" applyAlignment="1">
      <alignment vertical="top"/>
    </xf>
    <xf numFmtId="0" fontId="25" fillId="0" borderId="0" xfId="0" applyFont="1" applyAlignment="1">
      <alignment vertical="top"/>
    </xf>
    <xf numFmtId="0" fontId="10" fillId="0" borderId="0" xfId="0" applyFont="1" applyAlignment="1">
      <alignment vertical="top" wrapText="1"/>
    </xf>
    <xf numFmtId="0" fontId="45" fillId="0" borderId="0" xfId="0" applyFont="1" applyAlignment="1">
      <alignment vertical="top"/>
    </xf>
    <xf numFmtId="0" fontId="10" fillId="0" borderId="0" xfId="0" quotePrefix="1" applyFont="1" applyAlignment="1">
      <alignment vertical="top"/>
    </xf>
    <xf numFmtId="0" fontId="10" fillId="0" borderId="48" xfId="0" applyFont="1" applyBorder="1" applyAlignment="1">
      <alignment vertical="top"/>
    </xf>
    <xf numFmtId="0" fontId="25" fillId="0" borderId="0" xfId="0" applyFont="1" applyFill="1" applyAlignment="1">
      <alignment horizontal="center" vertical="center"/>
    </xf>
    <xf numFmtId="0" fontId="38" fillId="0" borderId="0" xfId="0" applyFont="1" applyAlignment="1">
      <alignment horizontal="center" vertical="center"/>
    </xf>
    <xf numFmtId="0" fontId="130" fillId="0" borderId="0" xfId="0" applyFont="1" applyAlignment="1">
      <alignment horizontal="center" vertical="center"/>
    </xf>
    <xf numFmtId="0" fontId="10" fillId="0" borderId="0" xfId="0" applyFont="1" applyAlignment="1">
      <alignment horizontal="center" vertical="center"/>
    </xf>
    <xf numFmtId="0" fontId="45" fillId="0" borderId="0" xfId="0" applyFont="1" applyAlignment="1">
      <alignment horizontal="center" vertical="center"/>
    </xf>
    <xf numFmtId="9" fontId="10" fillId="0" borderId="0" xfId="0" applyNumberFormat="1" applyFont="1"/>
    <xf numFmtId="168" fontId="10" fillId="25" borderId="22" xfId="164" applyNumberFormat="1" applyFont="1" applyFill="1" applyBorder="1" applyAlignment="1">
      <alignment horizontal="center"/>
    </xf>
    <xf numFmtId="0" fontId="45" fillId="21" borderId="52" xfId="0" applyFont="1" applyFill="1" applyBorder="1" applyAlignment="1">
      <alignment horizontal="center" vertical="top"/>
    </xf>
    <xf numFmtId="0" fontId="10" fillId="21" borderId="0" xfId="0" applyFont="1" applyFill="1" applyBorder="1"/>
    <xf numFmtId="0" fontId="10" fillId="21" borderId="13" xfId="0" applyFont="1" applyFill="1" applyBorder="1"/>
    <xf numFmtId="0" fontId="10" fillId="21" borderId="52" xfId="0" applyFont="1" applyFill="1" applyBorder="1"/>
    <xf numFmtId="10" fontId="25" fillId="21" borderId="53" xfId="0" applyNumberFormat="1" applyFont="1" applyFill="1" applyBorder="1"/>
    <xf numFmtId="0" fontId="10" fillId="21" borderId="53" xfId="0" applyFont="1" applyFill="1" applyBorder="1"/>
    <xf numFmtId="0" fontId="10" fillId="21" borderId="54" xfId="0" applyFont="1" applyFill="1" applyBorder="1"/>
    <xf numFmtId="0" fontId="10" fillId="21" borderId="9" xfId="0" applyFont="1" applyFill="1" applyBorder="1"/>
    <xf numFmtId="10" fontId="25" fillId="21" borderId="0" xfId="0" applyNumberFormat="1" applyFont="1" applyFill="1" applyBorder="1"/>
    <xf numFmtId="0" fontId="10" fillId="21" borderId="55" xfId="0" applyFont="1" applyFill="1" applyBorder="1"/>
    <xf numFmtId="10" fontId="25" fillId="21" borderId="55" xfId="0" applyNumberFormat="1" applyFont="1" applyFill="1" applyBorder="1"/>
    <xf numFmtId="0" fontId="10" fillId="21" borderId="56" xfId="0" applyFont="1" applyFill="1" applyBorder="1"/>
    <xf numFmtId="10" fontId="25" fillId="21" borderId="13" xfId="0" applyNumberFormat="1" applyFont="1" applyFill="1" applyBorder="1"/>
    <xf numFmtId="0" fontId="10" fillId="21" borderId="57" xfId="0" applyFont="1" applyFill="1" applyBorder="1"/>
    <xf numFmtId="0" fontId="10" fillId="21" borderId="58" xfId="0" applyFont="1" applyFill="1" applyBorder="1"/>
    <xf numFmtId="0" fontId="10" fillId="21" borderId="59" xfId="0" applyFont="1" applyFill="1" applyBorder="1"/>
    <xf numFmtId="0" fontId="10" fillId="21" borderId="9" xfId="0" applyFont="1" applyFill="1" applyBorder="1" applyAlignment="1"/>
    <xf numFmtId="0" fontId="10" fillId="21" borderId="0" xfId="0" applyFont="1" applyFill="1" applyBorder="1" applyAlignment="1">
      <alignment horizontal="center"/>
    </xf>
    <xf numFmtId="0" fontId="10" fillId="21" borderId="0" xfId="0" applyFont="1" applyFill="1" applyBorder="1" applyAlignment="1"/>
    <xf numFmtId="0" fontId="10" fillId="21" borderId="55" xfId="0" applyFont="1" applyFill="1" applyBorder="1" applyAlignment="1"/>
    <xf numFmtId="0" fontId="10" fillId="21" borderId="9" xfId="0" applyFont="1" applyFill="1" applyBorder="1" applyAlignment="1">
      <alignment horizontal="center"/>
    </xf>
    <xf numFmtId="0" fontId="15" fillId="21" borderId="0" xfId="0" applyFont="1" applyFill="1" applyBorder="1" applyAlignment="1">
      <alignment horizontal="center" vertical="center" wrapText="1"/>
    </xf>
    <xf numFmtId="0" fontId="0" fillId="21" borderId="13" xfId="0" applyFill="1" applyBorder="1"/>
    <xf numFmtId="10" fontId="0" fillId="21" borderId="0" xfId="165" applyNumberFormat="1" applyFont="1" applyFill="1"/>
    <xf numFmtId="10" fontId="0" fillId="21" borderId="0" xfId="0" applyNumberFormat="1" applyFill="1"/>
    <xf numFmtId="9" fontId="0" fillId="21" borderId="0" xfId="0" applyNumberFormat="1" applyFill="1"/>
    <xf numFmtId="0" fontId="10" fillId="21" borderId="0" xfId="0" applyFont="1" applyFill="1" applyAlignment="1">
      <alignment horizontal="left"/>
    </xf>
    <xf numFmtId="0" fontId="25" fillId="21" borderId="48" xfId="0" applyFont="1" applyFill="1" applyBorder="1"/>
    <xf numFmtId="0" fontId="25" fillId="21" borderId="3" xfId="0" applyFont="1" applyFill="1" applyBorder="1"/>
    <xf numFmtId="10" fontId="25" fillId="21" borderId="3" xfId="0" applyNumberFormat="1" applyFont="1" applyFill="1" applyBorder="1"/>
    <xf numFmtId="10" fontId="25" fillId="21" borderId="60" xfId="0" applyNumberFormat="1" applyFont="1" applyFill="1" applyBorder="1"/>
    <xf numFmtId="0" fontId="25" fillId="21" borderId="0" xfId="0" applyFont="1" applyFill="1"/>
    <xf numFmtId="179" fontId="10" fillId="21" borderId="3" xfId="204" applyNumberFormat="1" applyFont="1" applyFill="1" applyBorder="1" applyAlignment="1">
      <alignment horizontal="center"/>
    </xf>
    <xf numFmtId="179" fontId="10" fillId="21" borderId="60" xfId="204" applyNumberFormat="1" applyFont="1" applyFill="1" applyBorder="1" applyAlignment="1">
      <alignment horizontal="center"/>
    </xf>
    <xf numFmtId="179" fontId="10" fillId="0" borderId="0" xfId="0" applyNumberFormat="1" applyFont="1"/>
    <xf numFmtId="179" fontId="45" fillId="0" borderId="0" xfId="0" applyNumberFormat="1" applyFont="1"/>
    <xf numFmtId="179" fontId="45" fillId="21" borderId="53" xfId="0" applyNumberFormat="1" applyFont="1" applyFill="1" applyBorder="1"/>
    <xf numFmtId="179" fontId="45" fillId="21" borderId="54" xfId="0" applyNumberFormat="1" applyFont="1" applyFill="1" applyBorder="1"/>
    <xf numFmtId="0" fontId="42" fillId="21" borderId="0" xfId="0" applyFont="1" applyFill="1" applyBorder="1"/>
    <xf numFmtId="0" fontId="25" fillId="21" borderId="0" xfId="0" applyFont="1" applyFill="1" applyAlignment="1">
      <alignment wrapText="1"/>
    </xf>
    <xf numFmtId="10" fontId="25" fillId="21" borderId="0" xfId="0" applyNumberFormat="1" applyFont="1" applyFill="1" applyAlignment="1">
      <alignment horizontal="center" vertical="center"/>
    </xf>
    <xf numFmtId="0" fontId="10" fillId="21" borderId="0" xfId="0" applyFont="1" applyFill="1" applyBorder="1" applyAlignment="1">
      <alignment horizontal="right"/>
    </xf>
    <xf numFmtId="0" fontId="135" fillId="21" borderId="0" xfId="0" applyFont="1" applyFill="1" applyBorder="1"/>
    <xf numFmtId="0" fontId="135" fillId="21" borderId="55" xfId="0" applyFont="1" applyFill="1" applyBorder="1"/>
    <xf numFmtId="0" fontId="0" fillId="21" borderId="0" xfId="0" applyFill="1" applyBorder="1"/>
    <xf numFmtId="0" fontId="0" fillId="21" borderId="55" xfId="0" applyFill="1" applyBorder="1"/>
    <xf numFmtId="9" fontId="135" fillId="21" borderId="0" xfId="164" applyFont="1" applyFill="1" applyBorder="1"/>
    <xf numFmtId="168" fontId="135" fillId="21" borderId="0" xfId="164" applyNumberFormat="1" applyFont="1" applyFill="1" applyBorder="1"/>
    <xf numFmtId="168" fontId="135" fillId="21" borderId="55" xfId="164" applyNumberFormat="1" applyFont="1" applyFill="1" applyBorder="1"/>
    <xf numFmtId="168" fontId="135" fillId="21" borderId="13" xfId="164" applyNumberFormat="1" applyFont="1" applyFill="1" applyBorder="1"/>
    <xf numFmtId="0" fontId="0" fillId="21" borderId="57" xfId="0" applyFill="1" applyBorder="1"/>
    <xf numFmtId="0" fontId="25" fillId="21" borderId="9" xfId="0" applyFont="1" applyFill="1" applyBorder="1" applyAlignment="1">
      <alignment horizontal="left"/>
    </xf>
    <xf numFmtId="0" fontId="42" fillId="21" borderId="9" xfId="0" applyFont="1" applyFill="1" applyBorder="1" applyAlignment="1">
      <alignment horizontal="left"/>
    </xf>
    <xf numFmtId="0" fontId="25" fillId="21" borderId="9" xfId="0" applyFont="1" applyFill="1" applyBorder="1" applyAlignment="1"/>
    <xf numFmtId="0" fontId="25" fillId="21" borderId="9" xfId="0" applyFont="1" applyFill="1" applyBorder="1"/>
    <xf numFmtId="0" fontId="25" fillId="21" borderId="9" xfId="0" applyFont="1" applyFill="1" applyBorder="1" applyAlignment="1">
      <alignment vertical="top"/>
    </xf>
    <xf numFmtId="0" fontId="25" fillId="21" borderId="56" xfId="0" applyFont="1" applyFill="1" applyBorder="1" applyAlignment="1">
      <alignment vertical="top"/>
    </xf>
    <xf numFmtId="0" fontId="10" fillId="0" borderId="0" xfId="146" applyFont="1" applyAlignment="1">
      <alignment horizontal="center"/>
    </xf>
    <xf numFmtId="0" fontId="10" fillId="0" borderId="0" xfId="146" applyFont="1"/>
    <xf numFmtId="0" fontId="10" fillId="0" borderId="0" xfId="146"/>
    <xf numFmtId="0" fontId="10" fillId="0" borderId="0" xfId="146" applyFont="1" applyAlignment="1"/>
    <xf numFmtId="0" fontId="10" fillId="0" borderId="0" xfId="146" applyFont="1" applyAlignment="1">
      <alignment horizontal="left"/>
    </xf>
    <xf numFmtId="0" fontId="35" fillId="0" borderId="22" xfId="146" applyFont="1" applyFill="1" applyBorder="1" applyAlignment="1">
      <alignment horizontal="centerContinuous"/>
    </xf>
    <xf numFmtId="0" fontId="145" fillId="0" borderId="0" xfId="146" applyFont="1"/>
    <xf numFmtId="0" fontId="68" fillId="0" borderId="22" xfId="146" applyFont="1" applyFill="1" applyBorder="1" applyAlignment="1">
      <alignment horizontal="centerContinuous" vertical="top"/>
    </xf>
    <xf numFmtId="0" fontId="35" fillId="0" borderId="22" xfId="146" applyFont="1" applyFill="1" applyBorder="1" applyAlignment="1">
      <alignment horizontal="centerContinuous" vertical="top"/>
    </xf>
    <xf numFmtId="0" fontId="35" fillId="0" borderId="0" xfId="146" applyFont="1" applyAlignment="1">
      <alignment vertical="top"/>
    </xf>
    <xf numFmtId="0" fontId="146" fillId="21" borderId="22" xfId="146" applyFont="1" applyFill="1" applyBorder="1" applyProtection="1">
      <protection locked="0"/>
    </xf>
    <xf numFmtId="0" fontId="146" fillId="21" borderId="22" xfId="146" applyFont="1" applyFill="1" applyBorder="1" applyAlignment="1" applyProtection="1">
      <alignment horizontal="center"/>
      <protection locked="0"/>
    </xf>
    <xf numFmtId="0" fontId="146" fillId="21" borderId="22" xfId="146" applyFont="1" applyFill="1" applyBorder="1" applyAlignment="1">
      <alignment horizontal="centerContinuous"/>
    </xf>
    <xf numFmtId="0" fontId="146" fillId="0" borderId="22" xfId="146" applyFont="1" applyFill="1" applyBorder="1" applyAlignment="1">
      <alignment horizontal="centerContinuous"/>
    </xf>
    <xf numFmtId="0" fontId="147" fillId="0" borderId="0" xfId="146" applyFont="1"/>
    <xf numFmtId="0" fontId="146" fillId="21" borderId="22" xfId="146" applyFont="1" applyFill="1" applyBorder="1" applyAlignment="1" applyProtection="1">
      <alignment horizontal="center" vertical="top"/>
      <protection locked="0"/>
    </xf>
    <xf numFmtId="184" fontId="146" fillId="21" borderId="22" xfId="146" applyNumberFormat="1" applyFont="1" applyFill="1" applyBorder="1" applyAlignment="1">
      <alignment horizontal="center" vertical="top"/>
    </xf>
    <xf numFmtId="184" fontId="146" fillId="0" borderId="22" xfId="146" applyNumberFormat="1" applyFont="1" applyFill="1" applyBorder="1" applyAlignment="1">
      <alignment horizontal="center" vertical="top"/>
    </xf>
    <xf numFmtId="0" fontId="68" fillId="0" borderId="22" xfId="146" applyFont="1" applyFill="1" applyBorder="1" applyAlignment="1" applyProtection="1">
      <alignment horizontal="left"/>
    </xf>
    <xf numFmtId="182" fontId="68" fillId="0" borderId="22" xfId="146" applyNumberFormat="1" applyFont="1" applyFill="1" applyBorder="1" applyAlignment="1">
      <alignment horizontal="right"/>
    </xf>
    <xf numFmtId="183" fontId="68" fillId="0" borderId="22" xfId="146" applyNumberFormat="1" applyFont="1" applyFill="1" applyBorder="1" applyAlignment="1">
      <alignment horizontal="right"/>
    </xf>
    <xf numFmtId="181" fontId="68" fillId="0" borderId="22" xfId="146" applyNumberFormat="1" applyFont="1" applyFill="1" applyBorder="1" applyAlignment="1">
      <alignment horizontal="right"/>
    </xf>
    <xf numFmtId="0" fontId="148" fillId="0" borderId="0" xfId="146" applyFont="1" applyAlignment="1"/>
    <xf numFmtId="0" fontId="68" fillId="0" borderId="22" xfId="146" applyFont="1" applyFill="1" applyBorder="1"/>
    <xf numFmtId="0" fontId="150" fillId="0" borderId="0" xfId="146" applyFont="1"/>
    <xf numFmtId="0" fontId="68" fillId="0" borderId="22" xfId="146" applyFont="1" applyFill="1" applyBorder="1" applyAlignment="1" applyProtection="1">
      <alignment horizontal="left" vertical="center"/>
    </xf>
    <xf numFmtId="182" fontId="68" fillId="0" borderId="22" xfId="146" applyNumberFormat="1" applyFont="1" applyFill="1" applyBorder="1" applyAlignment="1">
      <alignment horizontal="right" vertical="center"/>
    </xf>
    <xf numFmtId="183" fontId="68" fillId="0" borderId="22" xfId="146" applyNumberFormat="1" applyFont="1" applyFill="1" applyBorder="1" applyAlignment="1">
      <alignment horizontal="right" vertical="center"/>
    </xf>
    <xf numFmtId="181" fontId="68" fillId="0" borderId="22" xfId="146" applyNumberFormat="1" applyFont="1" applyFill="1" applyBorder="1" applyAlignment="1">
      <alignment horizontal="right" vertical="center"/>
    </xf>
    <xf numFmtId="0" fontId="148" fillId="0" borderId="0" xfId="146" applyFont="1" applyAlignment="1">
      <alignment vertical="center"/>
    </xf>
    <xf numFmtId="0" fontId="68" fillId="0" borderId="61" xfId="146" applyFont="1" applyFill="1" applyBorder="1" applyAlignment="1" applyProtection="1">
      <alignment horizontal="left"/>
    </xf>
    <xf numFmtId="182" fontId="68" fillId="0" borderId="61" xfId="146" applyNumberFormat="1" applyFont="1" applyFill="1" applyBorder="1" applyAlignment="1">
      <alignment horizontal="right"/>
    </xf>
    <xf numFmtId="183" fontId="68" fillId="0" borderId="61" xfId="146" applyNumberFormat="1" applyFont="1" applyFill="1" applyBorder="1" applyAlignment="1">
      <alignment horizontal="right"/>
    </xf>
    <xf numFmtId="181" fontId="68" fillId="0" borderId="61" xfId="146" applyNumberFormat="1" applyFont="1" applyFill="1" applyBorder="1" applyAlignment="1">
      <alignment horizontal="right"/>
    </xf>
    <xf numFmtId="0" fontId="68" fillId="0" borderId="0" xfId="146" applyFont="1" applyFill="1" applyBorder="1" applyAlignment="1" applyProtection="1">
      <alignment horizontal="left" vertical="top"/>
    </xf>
    <xf numFmtId="182" fontId="68" fillId="0" borderId="0" xfId="146" applyNumberFormat="1" applyFont="1" applyFill="1" applyBorder="1" applyAlignment="1">
      <alignment horizontal="right"/>
    </xf>
    <xf numFmtId="181" fontId="68" fillId="0" borderId="0" xfId="146" applyNumberFormat="1" applyFont="1" applyFill="1" applyBorder="1" applyAlignment="1">
      <alignment horizontal="right"/>
    </xf>
    <xf numFmtId="0" fontId="151" fillId="0" borderId="0" xfId="146" applyFont="1" applyAlignment="1">
      <alignment vertical="top"/>
    </xf>
    <xf numFmtId="0" fontId="10" fillId="0" borderId="0" xfId="146" applyFont="1" applyFill="1" applyBorder="1" applyAlignment="1">
      <alignment vertical="center"/>
    </xf>
    <xf numFmtId="0" fontId="153" fillId="0" borderId="0" xfId="146" applyFont="1" applyAlignment="1">
      <alignment vertical="center"/>
    </xf>
    <xf numFmtId="0" fontId="146" fillId="0" borderId="0" xfId="146" applyFont="1" applyFill="1" applyBorder="1" applyAlignment="1">
      <alignment vertical="center"/>
    </xf>
    <xf numFmtId="0" fontId="152" fillId="0" borderId="0" xfId="146" applyFont="1" applyFill="1" applyBorder="1"/>
    <xf numFmtId="0" fontId="153" fillId="0" borderId="0" xfId="146" applyFont="1" applyFill="1" applyBorder="1" applyAlignment="1">
      <alignment vertical="top"/>
    </xf>
    <xf numFmtId="0" fontId="153" fillId="0" borderId="0" xfId="146" applyFont="1" applyAlignment="1">
      <alignment vertical="top"/>
    </xf>
    <xf numFmtId="0" fontId="154" fillId="0" borderId="0" xfId="137" applyFont="1" applyAlignment="1">
      <alignment horizontal="centerContinuous"/>
    </xf>
    <xf numFmtId="0" fontId="155" fillId="0" borderId="0" xfId="137" applyFont="1"/>
    <xf numFmtId="0" fontId="71" fillId="0" borderId="52" xfId="137" applyFont="1" applyBorder="1" applyAlignment="1">
      <alignment horizontal="left"/>
    </xf>
    <xf numFmtId="0" fontId="154" fillId="0" borderId="53" xfId="137" applyFont="1" applyBorder="1" applyAlignment="1">
      <alignment horizontal="center"/>
    </xf>
    <xf numFmtId="0" fontId="154" fillId="0" borderId="54" xfId="137" applyFont="1" applyBorder="1" applyAlignment="1">
      <alignment horizontal="center"/>
    </xf>
    <xf numFmtId="0" fontId="154" fillId="0" borderId="0" xfId="137" applyFont="1" applyAlignment="1">
      <alignment horizontal="center"/>
    </xf>
    <xf numFmtId="0" fontId="156" fillId="0" borderId="0" xfId="137" applyFont="1"/>
    <xf numFmtId="0" fontId="71" fillId="0" borderId="9" xfId="137" applyFont="1" applyBorder="1" applyAlignment="1">
      <alignment horizontal="left"/>
    </xf>
    <xf numFmtId="0" fontId="154" fillId="0" borderId="0" xfId="137" applyFont="1" applyBorder="1" applyAlignment="1">
      <alignment horizontal="center"/>
    </xf>
    <xf numFmtId="0" fontId="154" fillId="0" borderId="55" xfId="137" applyFont="1" applyBorder="1" applyAlignment="1">
      <alignment horizontal="center"/>
    </xf>
    <xf numFmtId="0" fontId="71" fillId="0" borderId="56" xfId="137" applyFont="1" applyBorder="1" applyAlignment="1">
      <alignment horizontal="left"/>
    </xf>
    <xf numFmtId="0" fontId="154" fillId="0" borderId="13" xfId="137" applyFont="1" applyBorder="1" applyAlignment="1">
      <alignment horizontal="center"/>
    </xf>
    <xf numFmtId="0" fontId="154" fillId="0" borderId="57" xfId="137" applyFont="1" applyBorder="1" applyAlignment="1">
      <alignment horizontal="center"/>
    </xf>
    <xf numFmtId="0" fontId="71" fillId="0" borderId="0" xfId="137" applyFont="1" applyAlignment="1">
      <alignment horizontal="left"/>
    </xf>
    <xf numFmtId="0" fontId="140" fillId="0" borderId="0" xfId="137"/>
    <xf numFmtId="0" fontId="71" fillId="0" borderId="0" xfId="137" applyFont="1"/>
    <xf numFmtId="10" fontId="71" fillId="25" borderId="22" xfId="137" applyNumberFormat="1" applyFont="1" applyFill="1" applyBorder="1" applyAlignment="1">
      <alignment horizontal="center"/>
    </xf>
    <xf numFmtId="0" fontId="71" fillId="25" borderId="22" xfId="137" applyFont="1" applyFill="1" applyBorder="1" applyAlignment="1">
      <alignment horizontal="center"/>
    </xf>
    <xf numFmtId="0" fontId="157" fillId="0" borderId="0" xfId="137" applyFont="1"/>
    <xf numFmtId="0" fontId="158" fillId="0" borderId="0" xfId="137" applyFont="1"/>
    <xf numFmtId="9" fontId="71" fillId="25" borderId="22" xfId="137" applyNumberFormat="1" applyFont="1" applyFill="1" applyBorder="1" applyAlignment="1">
      <alignment horizontal="center"/>
    </xf>
    <xf numFmtId="10" fontId="71" fillId="25" borderId="22" xfId="169" applyNumberFormat="1" applyFont="1" applyFill="1" applyBorder="1" applyAlignment="1">
      <alignment horizontal="center"/>
    </xf>
    <xf numFmtId="0" fontId="71" fillId="0" borderId="0" xfId="137" applyFont="1" applyBorder="1"/>
    <xf numFmtId="0" fontId="159" fillId="21" borderId="22" xfId="137" applyFont="1" applyFill="1" applyBorder="1"/>
    <xf numFmtId="0" fontId="159" fillId="21" borderId="22" xfId="137" applyFont="1" applyFill="1" applyBorder="1" applyAlignment="1">
      <alignment horizontal="center"/>
    </xf>
    <xf numFmtId="0" fontId="160" fillId="0" borderId="0" xfId="137" applyFont="1"/>
    <xf numFmtId="0" fontId="161" fillId="0" borderId="0" xfId="137" applyFont="1"/>
    <xf numFmtId="0" fontId="162" fillId="21" borderId="22" xfId="137" applyFont="1" applyFill="1" applyBorder="1"/>
    <xf numFmtId="0" fontId="162" fillId="21" borderId="22" xfId="137" applyFont="1" applyFill="1" applyBorder="1" applyAlignment="1">
      <alignment horizontal="center"/>
    </xf>
    <xf numFmtId="10" fontId="162" fillId="21" borderId="22" xfId="169" applyNumberFormat="1" applyFont="1" applyFill="1" applyBorder="1"/>
    <xf numFmtId="10" fontId="162" fillId="21" borderId="22" xfId="137" applyNumberFormat="1" applyFont="1" applyFill="1" applyBorder="1" applyAlignment="1">
      <alignment horizontal="center"/>
    </xf>
    <xf numFmtId="0" fontId="157" fillId="0" borderId="22" xfId="137" applyFont="1" applyBorder="1" applyAlignment="1">
      <alignment horizontal="center"/>
    </xf>
    <xf numFmtId="0" fontId="71" fillId="0" borderId="22" xfId="137" applyFont="1" applyBorder="1" applyAlignment="1">
      <alignment horizontal="center"/>
    </xf>
    <xf numFmtId="0" fontId="71" fillId="0" borderId="22" xfId="137" applyFont="1" applyBorder="1" applyAlignment="1">
      <alignment horizontal="center" vertical="center"/>
    </xf>
    <xf numFmtId="0" fontId="71" fillId="0" borderId="22" xfId="137" applyFont="1" applyFill="1" applyBorder="1" applyAlignment="1">
      <alignment horizontal="center"/>
    </xf>
    <xf numFmtId="0" fontId="141" fillId="0" borderId="0" xfId="143"/>
    <xf numFmtId="2" fontId="164" fillId="21" borderId="22" xfId="143" applyNumberFormat="1" applyFont="1" applyFill="1" applyBorder="1" applyAlignment="1">
      <alignment horizontal="center"/>
    </xf>
    <xf numFmtId="2" fontId="167" fillId="28" borderId="22" xfId="143" applyNumberFormat="1" applyFont="1" applyFill="1" applyBorder="1" applyAlignment="1">
      <alignment horizontal="center"/>
    </xf>
    <xf numFmtId="0" fontId="129" fillId="0" borderId="0" xfId="0" applyFont="1" applyFill="1" applyBorder="1" applyAlignment="1">
      <alignment horizontal="center" vertical="center"/>
    </xf>
    <xf numFmtId="0" fontId="25" fillId="0" borderId="0" xfId="0" applyFont="1" applyBorder="1" applyAlignment="1">
      <alignment horizontal="center"/>
    </xf>
    <xf numFmtId="0" fontId="165" fillId="0" borderId="0" xfId="0" applyFont="1" applyBorder="1"/>
    <xf numFmtId="0" fontId="90" fillId="0" borderId="0" xfId="0" applyFont="1" applyBorder="1"/>
    <xf numFmtId="0" fontId="42" fillId="0" borderId="0" xfId="0" applyFont="1" applyBorder="1"/>
    <xf numFmtId="9" fontId="0" fillId="0" borderId="0" xfId="164" applyFont="1" applyBorder="1"/>
    <xf numFmtId="9" fontId="0" fillId="0" borderId="0" xfId="0" applyNumberFormat="1" applyBorder="1"/>
    <xf numFmtId="0" fontId="34" fillId="0" borderId="0" xfId="0" applyFont="1" applyBorder="1"/>
    <xf numFmtId="0" fontId="134" fillId="0" borderId="0" xfId="0" applyFont="1" applyBorder="1"/>
    <xf numFmtId="0" fontId="166" fillId="0" borderId="0" xfId="0" applyFont="1" applyBorder="1"/>
    <xf numFmtId="0" fontId="15" fillId="31" borderId="16" xfId="0" applyFont="1" applyFill="1" applyBorder="1" applyAlignment="1">
      <alignment horizontal="center" vertical="center" wrapText="1"/>
    </xf>
    <xf numFmtId="9" fontId="0" fillId="0" borderId="17" xfId="164" applyFont="1" applyBorder="1" applyAlignment="1">
      <alignment horizontal="center" vertical="center"/>
    </xf>
    <xf numFmtId="38" fontId="0" fillId="0" borderId="17" xfId="0" applyNumberFormat="1" applyBorder="1" applyAlignment="1">
      <alignment horizontal="center" vertical="center"/>
    </xf>
    <xf numFmtId="0" fontId="10" fillId="0" borderId="17" xfId="0" applyFont="1" applyFill="1" applyBorder="1" applyAlignment="1">
      <alignment horizontal="center"/>
    </xf>
    <xf numFmtId="3" fontId="0" fillId="0" borderId="17" xfId="0" applyNumberFormat="1" applyBorder="1" applyAlignment="1">
      <alignment horizontal="center" vertical="center"/>
    </xf>
    <xf numFmtId="3" fontId="25" fillId="21" borderId="17" xfId="0" applyNumberFormat="1" applyFont="1" applyFill="1" applyBorder="1" applyAlignment="1">
      <alignment horizontal="center" vertical="center"/>
    </xf>
    <xf numFmtId="0" fontId="10" fillId="0" borderId="17" xfId="0" applyFont="1" applyBorder="1"/>
    <xf numFmtId="10" fontId="0" fillId="0" borderId="17" xfId="0" applyNumberFormat="1" applyBorder="1"/>
    <xf numFmtId="0" fontId="0" fillId="0" borderId="0" xfId="0" applyBorder="1" applyAlignment="1">
      <alignment horizontal="left" vertical="top"/>
    </xf>
    <xf numFmtId="3" fontId="0" fillId="0" borderId="0" xfId="0" applyNumberFormat="1" applyBorder="1"/>
    <xf numFmtId="2" fontId="0" fillId="0" borderId="0" xfId="0" applyNumberFormat="1" applyBorder="1"/>
    <xf numFmtId="0" fontId="10" fillId="31" borderId="16" xfId="0" applyFont="1" applyFill="1" applyBorder="1"/>
    <xf numFmtId="0" fontId="10" fillId="0" borderId="17" xfId="0" applyFont="1" applyFill="1" applyBorder="1" applyAlignment="1">
      <alignment horizontal="right"/>
    </xf>
    <xf numFmtId="0" fontId="10" fillId="0" borderId="17" xfId="0" applyFont="1" applyBorder="1" applyAlignment="1">
      <alignment horizontal="right"/>
    </xf>
    <xf numFmtId="0" fontId="42" fillId="0" borderId="17" xfId="0" applyFont="1" applyBorder="1"/>
    <xf numFmtId="0" fontId="25" fillId="21" borderId="17" xfId="0" applyFont="1" applyFill="1" applyBorder="1"/>
    <xf numFmtId="0" fontId="142" fillId="0" borderId="0" xfId="151" applyFont="1" applyFill="1" applyBorder="1"/>
    <xf numFmtId="0" fontId="213" fillId="0" borderId="0" xfId="151" applyFont="1" applyFill="1" applyBorder="1" applyAlignment="1">
      <alignment horizontal="center"/>
    </xf>
    <xf numFmtId="0" fontId="142" fillId="0" borderId="0" xfId="151" applyFont="1"/>
    <xf numFmtId="3" fontId="214" fillId="0" borderId="0" xfId="151" applyNumberFormat="1" applyFont="1" applyBorder="1" applyAlignment="1">
      <alignment horizontal="center"/>
    </xf>
    <xf numFmtId="0" fontId="213" fillId="4" borderId="62" xfId="151" applyFont="1" applyFill="1" applyBorder="1" applyAlignment="1">
      <alignment horizontal="center" vertical="center" wrapText="1"/>
    </xf>
    <xf numFmtId="1" fontId="213" fillId="4" borderId="62" xfId="151" applyNumberFormat="1" applyFont="1" applyFill="1" applyBorder="1" applyAlignment="1">
      <alignment horizontal="center" vertical="center" wrapText="1"/>
    </xf>
    <xf numFmtId="0" fontId="142" fillId="0" borderId="0" xfId="151" applyFont="1" applyFill="1" applyBorder="1" applyAlignment="1">
      <alignment horizontal="center" vertical="center" wrapText="1"/>
    </xf>
    <xf numFmtId="0" fontId="142" fillId="0" borderId="25" xfId="151" applyFont="1" applyFill="1" applyBorder="1"/>
    <xf numFmtId="3" fontId="142" fillId="0" borderId="25" xfId="151" applyNumberFormat="1" applyFont="1" applyFill="1" applyBorder="1"/>
    <xf numFmtId="0" fontId="213" fillId="4" borderId="25" xfId="151" applyFont="1" applyFill="1" applyBorder="1"/>
    <xf numFmtId="3" fontId="213" fillId="4" borderId="25" xfId="151" applyNumberFormat="1" applyFont="1" applyFill="1" applyBorder="1"/>
    <xf numFmtId="0" fontId="213" fillId="0" borderId="0" xfId="151" applyFont="1" applyFill="1" applyBorder="1"/>
    <xf numFmtId="0" fontId="213" fillId="0" borderId="25" xfId="151" applyFont="1" applyFill="1" applyBorder="1"/>
    <xf numFmtId="3" fontId="213" fillId="0" borderId="25" xfId="151" applyNumberFormat="1" applyFont="1" applyFill="1" applyBorder="1"/>
    <xf numFmtId="0" fontId="213" fillId="4" borderId="29" xfId="151" applyFont="1" applyFill="1" applyBorder="1"/>
    <xf numFmtId="3" fontId="213" fillId="4" borderId="29" xfId="151" applyNumberFormat="1" applyFont="1" applyFill="1" applyBorder="1"/>
    <xf numFmtId="9" fontId="142" fillId="0" borderId="25" xfId="164" applyFont="1" applyFill="1" applyBorder="1"/>
    <xf numFmtId="9" fontId="213" fillId="31" borderId="25" xfId="164" applyFont="1" applyFill="1" applyBorder="1"/>
    <xf numFmtId="9" fontId="213" fillId="31" borderId="29" xfId="164" applyFont="1" applyFill="1" applyBorder="1"/>
    <xf numFmtId="0" fontId="142" fillId="28" borderId="25" xfId="151" applyFont="1" applyFill="1" applyBorder="1"/>
    <xf numFmtId="9" fontId="142" fillId="28" borderId="25" xfId="164" applyFont="1" applyFill="1" applyBorder="1"/>
    <xf numFmtId="0" fontId="0" fillId="0" borderId="44" xfId="0" applyBorder="1"/>
    <xf numFmtId="0" fontId="0" fillId="0" borderId="46" xfId="0" applyBorder="1"/>
    <xf numFmtId="9" fontId="0" fillId="0" borderId="0" xfId="165" applyFont="1" applyBorder="1"/>
    <xf numFmtId="0" fontId="0" fillId="0" borderId="46" xfId="0" applyFont="1" applyBorder="1"/>
    <xf numFmtId="0" fontId="0" fillId="0" borderId="0" xfId="0" applyFont="1" applyBorder="1"/>
    <xf numFmtId="0" fontId="100" fillId="21" borderId="16" xfId="0" applyFont="1" applyFill="1" applyBorder="1" applyAlignment="1">
      <alignment horizontal="center" vertical="center" wrapText="1"/>
    </xf>
    <xf numFmtId="0" fontId="100" fillId="21" borderId="44" xfId="0" applyFont="1" applyFill="1" applyBorder="1" applyAlignment="1">
      <alignment horizontal="center" vertical="center" wrapText="1"/>
    </xf>
    <xf numFmtId="0" fontId="218" fillId="0" borderId="46" xfId="0" applyFont="1" applyBorder="1" applyAlignment="1">
      <alignment horizontal="center" vertical="center" wrapText="1"/>
    </xf>
    <xf numFmtId="0" fontId="218" fillId="0" borderId="46" xfId="0" applyFont="1" applyBorder="1" applyAlignment="1">
      <alignment horizontal="justify" vertical="center" wrapText="1"/>
    </xf>
    <xf numFmtId="0" fontId="218" fillId="0" borderId="47" xfId="0" applyFont="1" applyBorder="1" applyAlignment="1">
      <alignment horizontal="justify" vertical="center" wrapText="1"/>
    </xf>
    <xf numFmtId="0" fontId="218" fillId="32" borderId="17" xfId="0" applyFont="1" applyFill="1" applyBorder="1" applyAlignment="1">
      <alignment horizontal="center" vertical="center" wrapText="1"/>
    </xf>
    <xf numFmtId="0" fontId="0" fillId="32" borderId="17" xfId="0" applyFill="1" applyBorder="1"/>
    <xf numFmtId="0" fontId="218" fillId="32" borderId="18" xfId="0" applyFont="1" applyFill="1" applyBorder="1" applyAlignment="1">
      <alignment horizontal="center" vertical="center" wrapText="1"/>
    </xf>
    <xf numFmtId="0" fontId="218" fillId="27" borderId="17" xfId="0" applyFont="1" applyFill="1" applyBorder="1" applyAlignment="1">
      <alignment horizontal="center" vertical="center" wrapText="1"/>
    </xf>
    <xf numFmtId="0" fontId="0" fillId="27" borderId="17" xfId="0" applyFill="1" applyBorder="1"/>
    <xf numFmtId="0" fontId="218" fillId="27" borderId="18" xfId="0" applyFont="1" applyFill="1" applyBorder="1" applyAlignment="1">
      <alignment horizontal="center" vertical="center" wrapText="1"/>
    </xf>
    <xf numFmtId="0" fontId="218" fillId="33" borderId="17" xfId="0" applyFont="1" applyFill="1" applyBorder="1" applyAlignment="1">
      <alignment horizontal="center" vertical="center" wrapText="1"/>
    </xf>
    <xf numFmtId="0" fontId="0" fillId="33" borderId="17" xfId="0" applyFill="1" applyBorder="1"/>
    <xf numFmtId="0" fontId="218" fillId="33" borderId="18" xfId="0" applyFont="1" applyFill="1" applyBorder="1" applyAlignment="1">
      <alignment horizontal="center" vertical="center" wrapText="1"/>
    </xf>
    <xf numFmtId="0" fontId="219" fillId="34" borderId="26" xfId="0" applyFont="1" applyFill="1" applyBorder="1" applyAlignment="1">
      <alignment horizontal="center" vertical="center" wrapText="1"/>
    </xf>
    <xf numFmtId="0" fontId="221" fillId="26" borderId="26" xfId="0" applyFont="1" applyFill="1" applyBorder="1"/>
    <xf numFmtId="0" fontId="222" fillId="0" borderId="0" xfId="0" applyFont="1" applyBorder="1"/>
    <xf numFmtId="0" fontId="167" fillId="28" borderId="22" xfId="143" applyFont="1" applyFill="1" applyBorder="1" applyAlignment="1">
      <alignment horizontal="center"/>
    </xf>
    <xf numFmtId="0" fontId="164" fillId="21" borderId="22" xfId="143" applyFont="1" applyFill="1" applyBorder="1" applyAlignment="1">
      <alignment horizontal="center"/>
    </xf>
    <xf numFmtId="0" fontId="164" fillId="21" borderId="29" xfId="143" applyFont="1" applyFill="1" applyBorder="1" applyAlignment="1">
      <alignment horizontal="center"/>
    </xf>
    <xf numFmtId="0" fontId="216" fillId="0" borderId="0" xfId="143" applyFont="1"/>
    <xf numFmtId="0" fontId="42" fillId="17" borderId="9" xfId="0" applyFont="1" applyFill="1" applyBorder="1" applyAlignment="1">
      <alignment horizontal="left"/>
    </xf>
    <xf numFmtId="41" fontId="11" fillId="35" borderId="16" xfId="102" applyFont="1" applyFill="1" applyBorder="1" applyAlignment="1">
      <alignment horizontal="center" vertical="center"/>
    </xf>
    <xf numFmtId="0" fontId="22" fillId="0" borderId="0" xfId="0" applyFont="1" applyFill="1" applyAlignment="1">
      <alignment vertical="center"/>
    </xf>
    <xf numFmtId="0" fontId="22" fillId="0" borderId="0" xfId="0" applyFont="1" applyFill="1"/>
    <xf numFmtId="0" fontId="22" fillId="0" borderId="0" xfId="0" applyFont="1" applyFill="1" applyAlignment="1">
      <alignment horizontal="left" vertical="center"/>
    </xf>
    <xf numFmtId="0" fontId="15" fillId="0" borderId="0" xfId="194" applyFont="1" applyFill="1" applyBorder="1" applyAlignment="1">
      <alignment horizontal="left" vertical="center" wrapText="1"/>
    </xf>
    <xf numFmtId="0" fontId="15" fillId="0" borderId="0" xfId="194" applyFont="1" applyFill="1" applyBorder="1" applyAlignment="1">
      <alignment vertical="center"/>
    </xf>
    <xf numFmtId="0" fontId="15" fillId="0" borderId="0" xfId="194" applyFont="1" applyFill="1" applyBorder="1" applyAlignment="1">
      <alignment horizontal="left" vertical="center"/>
    </xf>
    <xf numFmtId="0" fontId="15" fillId="0" borderId="0" xfId="194" applyFont="1" applyFill="1" applyBorder="1" applyAlignment="1">
      <alignment horizontal="center" vertical="center"/>
    </xf>
    <xf numFmtId="0" fontId="19" fillId="0" borderId="0" xfId="194" applyNumberFormat="1" applyFont="1" applyFill="1" applyBorder="1" applyAlignment="1">
      <alignment horizontal="center" vertical="center"/>
    </xf>
    <xf numFmtId="0" fontId="22" fillId="0" borderId="0" xfId="0" applyFont="1" applyFill="1" applyBorder="1"/>
    <xf numFmtId="41" fontId="218" fillId="35" borderId="16" xfId="102" applyFont="1" applyFill="1" applyBorder="1" applyAlignment="1">
      <alignment horizontal="left" vertical="center"/>
    </xf>
    <xf numFmtId="41" fontId="100" fillId="35" borderId="0" xfId="102" applyFont="1" applyFill="1" applyAlignment="1">
      <alignment horizontal="right" vertical="center"/>
    </xf>
    <xf numFmtId="0" fontId="15" fillId="0" borderId="63" xfId="0" applyFont="1" applyFill="1" applyBorder="1" applyAlignment="1">
      <alignment horizontal="left" vertical="center" wrapText="1"/>
    </xf>
    <xf numFmtId="0" fontId="15" fillId="0" borderId="64" xfId="0" applyFont="1" applyFill="1" applyBorder="1" applyAlignment="1">
      <alignment vertical="center" wrapText="1"/>
    </xf>
    <xf numFmtId="173" fontId="218" fillId="0" borderId="65" xfId="102" applyNumberFormat="1" applyFont="1" applyFill="1" applyBorder="1" applyAlignment="1">
      <alignment horizontal="center" vertical="center"/>
    </xf>
    <xf numFmtId="0" fontId="223" fillId="0" borderId="63" xfId="0" applyFont="1" applyFill="1" applyBorder="1" applyAlignment="1">
      <alignment horizontal="left" vertical="center"/>
    </xf>
    <xf numFmtId="0" fontId="223" fillId="0" borderId="64" xfId="0" applyFont="1" applyFill="1" applyBorder="1" applyAlignment="1">
      <alignment vertical="center"/>
    </xf>
    <xf numFmtId="173" fontId="218" fillId="0" borderId="63" xfId="102" applyNumberFormat="1" applyFont="1" applyFill="1" applyBorder="1" applyAlignment="1">
      <alignment horizontal="center" vertical="center"/>
    </xf>
    <xf numFmtId="174" fontId="22" fillId="0" borderId="0" xfId="0" applyNumberFormat="1" applyFont="1" applyFill="1"/>
    <xf numFmtId="3" fontId="223" fillId="0" borderId="63" xfId="0" applyNumberFormat="1" applyFont="1" applyFill="1" applyBorder="1" applyAlignment="1">
      <alignment horizontal="left" vertical="center"/>
    </xf>
    <xf numFmtId="3" fontId="223" fillId="0" borderId="64" xfId="0" applyNumberFormat="1" applyFont="1" applyFill="1" applyBorder="1" applyAlignment="1">
      <alignment vertical="center"/>
    </xf>
    <xf numFmtId="41" fontId="218" fillId="0" borderId="0" xfId="102" applyFont="1" applyFill="1" applyAlignment="1">
      <alignment horizontal="left" vertical="center"/>
    </xf>
    <xf numFmtId="41" fontId="218" fillId="0" borderId="0" xfId="102" applyFont="1" applyFill="1" applyAlignment="1">
      <alignment vertical="center"/>
    </xf>
    <xf numFmtId="41" fontId="44" fillId="35" borderId="16" xfId="102" applyFont="1" applyFill="1" applyBorder="1" applyAlignment="1">
      <alignment horizontal="center" vertical="center"/>
    </xf>
    <xf numFmtId="0" fontId="15" fillId="0" borderId="66" xfId="0" applyFont="1" applyFill="1" applyBorder="1" applyAlignment="1">
      <alignment horizontal="left" vertical="center" wrapText="1"/>
    </xf>
    <xf numFmtId="0" fontId="15" fillId="0" borderId="65" xfId="0" applyFont="1" applyFill="1" applyBorder="1" applyAlignment="1">
      <alignment horizontal="left" vertical="center" wrapText="1"/>
    </xf>
    <xf numFmtId="0" fontId="15" fillId="0" borderId="67" xfId="0" applyFont="1" applyFill="1" applyBorder="1" applyAlignment="1">
      <alignment vertical="center" wrapText="1"/>
    </xf>
    <xf numFmtId="0" fontId="15" fillId="0" borderId="68" xfId="0" applyFont="1" applyFill="1" applyBorder="1" applyAlignment="1">
      <alignment vertical="center" wrapText="1"/>
    </xf>
    <xf numFmtId="0" fontId="223" fillId="0" borderId="65" xfId="0" applyFont="1" applyFill="1" applyBorder="1" applyAlignment="1">
      <alignment horizontal="left" vertical="center"/>
    </xf>
    <xf numFmtId="0" fontId="223" fillId="0" borderId="67" xfId="0" applyFont="1" applyFill="1" applyBorder="1" applyAlignment="1">
      <alignment vertical="center"/>
    </xf>
    <xf numFmtId="41" fontId="224" fillId="0" borderId="66" xfId="42" applyNumberFormat="1" applyFont="1" applyFill="1" applyBorder="1" applyAlignment="1" applyProtection="1">
      <alignment horizontal="left" vertical="center"/>
    </xf>
    <xf numFmtId="38" fontId="19" fillId="0" borderId="68" xfId="102" applyNumberFormat="1" applyFont="1" applyFill="1" applyBorder="1" applyAlignment="1">
      <alignment horizontal="right" vertical="center"/>
    </xf>
    <xf numFmtId="0" fontId="225" fillId="15" borderId="0" xfId="0" applyFont="1" applyFill="1" applyBorder="1" applyAlignment="1">
      <alignment horizontal="center" vertical="center"/>
    </xf>
    <xf numFmtId="38" fontId="225" fillId="15" borderId="0" xfId="0" applyNumberFormat="1" applyFont="1" applyFill="1" applyBorder="1" applyAlignment="1">
      <alignment horizontal="center"/>
    </xf>
    <xf numFmtId="0" fontId="10" fillId="0" borderId="16" xfId="0" applyFont="1" applyFill="1" applyBorder="1" applyAlignment="1">
      <alignment horizontal="center"/>
    </xf>
    <xf numFmtId="0" fontId="25" fillId="15" borderId="17" xfId="0" applyFont="1" applyFill="1" applyBorder="1"/>
    <xf numFmtId="0" fontId="15" fillId="31" borderId="41" xfId="0" applyFont="1" applyFill="1" applyBorder="1" applyAlignment="1">
      <alignment horizontal="center" vertical="center" wrapText="1"/>
    </xf>
    <xf numFmtId="0" fontId="10" fillId="31" borderId="26" xfId="0" applyFont="1" applyFill="1" applyBorder="1"/>
    <xf numFmtId="0" fontId="15" fillId="31" borderId="26" xfId="0" applyFont="1" applyFill="1" applyBorder="1" applyAlignment="1">
      <alignment horizontal="center" vertical="center" wrapText="1"/>
    </xf>
    <xf numFmtId="0" fontId="15" fillId="0" borderId="69" xfId="194" applyNumberFormat="1" applyFont="1" applyBorder="1" applyAlignment="1">
      <alignment horizontal="center" vertical="center"/>
    </xf>
    <xf numFmtId="0" fontId="229" fillId="0" borderId="0" xfId="0" applyFont="1" applyFill="1" applyBorder="1"/>
    <xf numFmtId="0" fontId="89" fillId="0" borderId="0" xfId="0" applyFont="1" applyBorder="1" applyAlignment="1">
      <alignment vertical="center"/>
    </xf>
    <xf numFmtId="174" fontId="22" fillId="0" borderId="0" xfId="0" applyNumberFormat="1" applyFont="1" applyBorder="1" applyAlignment="1">
      <alignment horizontal="center" vertical="center"/>
    </xf>
    <xf numFmtId="0" fontId="15" fillId="0" borderId="69" xfId="194" applyFont="1" applyBorder="1" applyAlignment="1">
      <alignment horizontal="center" vertical="center"/>
    </xf>
    <xf numFmtId="168" fontId="15" fillId="0" borderId="69" xfId="194" applyNumberFormat="1" applyFont="1" applyBorder="1" applyAlignment="1">
      <alignment horizontal="center" vertical="center"/>
    </xf>
    <xf numFmtId="174" fontId="15" fillId="0" borderId="0" xfId="194" applyNumberFormat="1" applyFont="1" applyBorder="1" applyAlignment="1">
      <alignment horizontal="center" vertical="center"/>
    </xf>
    <xf numFmtId="0" fontId="15" fillId="0" borderId="0" xfId="194" applyNumberFormat="1" applyFont="1" applyBorder="1" applyAlignment="1">
      <alignment horizontal="center" vertical="center"/>
    </xf>
    <xf numFmtId="10" fontId="0" fillId="0" borderId="0" xfId="0" applyNumberFormat="1" applyFill="1" applyBorder="1" applyAlignment="1">
      <alignment horizontal="center"/>
    </xf>
    <xf numFmtId="168" fontId="0" fillId="0" borderId="0" xfId="0" applyNumberFormat="1" applyFill="1" applyBorder="1" applyAlignment="1">
      <alignment horizontal="center"/>
    </xf>
    <xf numFmtId="10" fontId="15" fillId="0" borderId="0" xfId="194" applyNumberFormat="1" applyFont="1" applyFill="1" applyBorder="1" applyAlignment="1">
      <alignment horizontal="center" vertical="center"/>
    </xf>
    <xf numFmtId="0" fontId="5" fillId="0" borderId="0" xfId="0" applyFont="1" applyFill="1" applyBorder="1" applyAlignment="1">
      <alignment vertical="center"/>
    </xf>
    <xf numFmtId="174" fontId="22" fillId="0" borderId="0" xfId="0" applyNumberFormat="1" applyFont="1" applyFill="1" applyBorder="1" applyAlignment="1">
      <alignment horizontal="center" vertical="center"/>
    </xf>
    <xf numFmtId="173" fontId="22" fillId="0" borderId="0" xfId="0" applyNumberFormat="1" applyFont="1" applyFill="1" applyBorder="1" applyAlignment="1">
      <alignment horizontal="center" vertical="center"/>
    </xf>
    <xf numFmtId="0" fontId="20" fillId="0" borderId="0" xfId="194" applyFont="1" applyFill="1" applyBorder="1" applyAlignment="1">
      <alignment vertical="center"/>
    </xf>
    <xf numFmtId="174" fontId="15" fillId="0" borderId="0" xfId="194" applyNumberFormat="1" applyFont="1" applyFill="1" applyBorder="1" applyAlignment="1">
      <alignment horizontal="center" vertical="center"/>
    </xf>
    <xf numFmtId="173" fontId="15" fillId="0" borderId="0" xfId="194" applyNumberFormat="1" applyFont="1" applyFill="1" applyBorder="1" applyAlignment="1">
      <alignment horizontal="center" vertical="center"/>
    </xf>
    <xf numFmtId="168" fontId="15" fillId="0" borderId="0" xfId="194" applyNumberFormat="1" applyFont="1" applyFill="1" applyBorder="1" applyAlignment="1">
      <alignment horizontal="center" vertical="center"/>
    </xf>
    <xf numFmtId="0" fontId="15" fillId="15" borderId="0" xfId="0" applyFont="1" applyFill="1" applyBorder="1" applyAlignment="1">
      <alignment horizontal="center" vertical="center" wrapText="1"/>
    </xf>
    <xf numFmtId="164" fontId="9" fillId="0" borderId="0" xfId="69" applyNumberFormat="1" applyFont="1" applyFill="1" applyBorder="1" applyAlignment="1">
      <alignment vertical="center"/>
    </xf>
    <xf numFmtId="165" fontId="15" fillId="0" borderId="0" xfId="204" applyNumberFormat="1" applyFont="1" applyFill="1" applyBorder="1" applyAlignment="1">
      <alignment vertical="center"/>
    </xf>
    <xf numFmtId="0" fontId="23" fillId="0" borderId="0" xfId="0" applyFont="1" applyFill="1" applyBorder="1" applyAlignment="1">
      <alignment vertical="center"/>
    </xf>
    <xf numFmtId="166" fontId="15" fillId="0" borderId="0" xfId="0" applyNumberFormat="1" applyFont="1" applyFill="1" applyBorder="1" applyAlignment="1">
      <alignment vertical="center"/>
    </xf>
    <xf numFmtId="174" fontId="15" fillId="0" borderId="0" xfId="0" applyNumberFormat="1" applyFont="1" applyFill="1" applyBorder="1" applyAlignment="1">
      <alignment horizontal="center" vertical="center"/>
    </xf>
    <xf numFmtId="174" fontId="23" fillId="0" borderId="0" xfId="0" applyNumberFormat="1" applyFont="1" applyFill="1" applyBorder="1" applyAlignment="1">
      <alignment horizontal="center" vertical="center"/>
    </xf>
    <xf numFmtId="0" fontId="15" fillId="15" borderId="70" xfId="0" applyFont="1" applyFill="1" applyBorder="1" applyAlignment="1">
      <alignment horizontal="left" vertical="center" wrapText="1"/>
    </xf>
    <xf numFmtId="41" fontId="21" fillId="15" borderId="71" xfId="102" applyFont="1" applyFill="1" applyBorder="1" applyAlignment="1">
      <alignment horizontal="left" vertical="center"/>
    </xf>
    <xf numFmtId="0" fontId="15" fillId="0" borderId="72" xfId="0" applyFont="1" applyFill="1" applyBorder="1" applyAlignment="1">
      <alignment horizontal="left" vertical="center" wrapText="1"/>
    </xf>
    <xf numFmtId="3" fontId="15" fillId="0" borderId="73" xfId="0" applyNumberFormat="1" applyFont="1" applyFill="1" applyBorder="1" applyAlignment="1">
      <alignment vertical="center" wrapText="1"/>
    </xf>
    <xf numFmtId="0" fontId="15" fillId="0" borderId="17" xfId="0" applyFont="1" applyFill="1" applyBorder="1" applyAlignment="1">
      <alignment horizontal="left" vertical="center" wrapText="1"/>
    </xf>
    <xf numFmtId="0" fontId="15" fillId="0" borderId="0" xfId="0" applyFont="1" applyFill="1" applyBorder="1" applyAlignment="1">
      <alignment vertical="center" wrapText="1"/>
    </xf>
    <xf numFmtId="0" fontId="15" fillId="15"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0" xfId="194" applyFont="1" applyBorder="1" applyAlignment="1">
      <alignment horizontal="center" vertical="center"/>
    </xf>
    <xf numFmtId="167" fontId="9" fillId="0" borderId="0" xfId="69" applyNumberFormat="1" applyFont="1" applyFill="1" applyBorder="1" applyAlignment="1">
      <alignment vertical="center"/>
    </xf>
    <xf numFmtId="38" fontId="29" fillId="15" borderId="0" xfId="210" applyNumberFormat="1" applyFont="1" applyFill="1" applyBorder="1" applyAlignment="1">
      <alignment horizontal="center" vertical="center" wrapText="1"/>
    </xf>
    <xf numFmtId="0" fontId="9" fillId="0" borderId="0" xfId="69" applyFont="1" applyFill="1" applyBorder="1" applyAlignment="1">
      <alignment vertical="center" wrapText="1"/>
    </xf>
    <xf numFmtId="167" fontId="9" fillId="0" borderId="0" xfId="69" applyNumberFormat="1" applyFont="1" applyFill="1" applyBorder="1" applyAlignment="1">
      <alignment horizontal="center" vertical="center" wrapText="1"/>
    </xf>
    <xf numFmtId="164" fontId="15" fillId="28" borderId="0" xfId="194" applyNumberFormat="1" applyFont="1" applyFill="1" applyBorder="1" applyAlignment="1">
      <alignment vertical="center"/>
    </xf>
    <xf numFmtId="0" fontId="22" fillId="0" borderId="0" xfId="0" applyFont="1" applyBorder="1" applyAlignment="1">
      <alignment vertical="center"/>
    </xf>
    <xf numFmtId="3" fontId="9" fillId="0" borderId="0" xfId="69" applyNumberFormat="1" applyFont="1" applyFill="1" applyBorder="1" applyAlignment="1">
      <alignment vertical="center" wrapText="1"/>
    </xf>
    <xf numFmtId="38" fontId="9" fillId="0" borderId="0" xfId="69" applyNumberFormat="1" applyFont="1" applyFill="1" applyBorder="1" applyAlignment="1">
      <alignment vertical="center" wrapText="1"/>
    </xf>
    <xf numFmtId="164" fontId="18" fillId="36" borderId="0" xfId="70" applyNumberFormat="1" applyFont="1" applyFill="1" applyBorder="1" applyAlignment="1">
      <alignment horizontal="center" vertical="center" wrapText="1"/>
    </xf>
    <xf numFmtId="0" fontId="86" fillId="15" borderId="16" xfId="0" applyFont="1" applyFill="1" applyBorder="1" applyAlignment="1">
      <alignment horizontal="center" vertical="center" wrapText="1"/>
    </xf>
    <xf numFmtId="0" fontId="86" fillId="0" borderId="17" xfId="0" applyFont="1" applyFill="1" applyBorder="1" applyAlignment="1">
      <alignment horizontal="center" vertical="center" wrapText="1"/>
    </xf>
    <xf numFmtId="0" fontId="6" fillId="0" borderId="17" xfId="69" applyFont="1" applyFill="1" applyBorder="1" applyAlignment="1">
      <alignment horizontal="left" vertical="center" wrapText="1"/>
    </xf>
    <xf numFmtId="0" fontId="9" fillId="0" borderId="17" xfId="69" applyFont="1" applyFill="1" applyBorder="1" applyAlignment="1">
      <alignment horizontal="left" vertical="center" wrapText="1"/>
    </xf>
    <xf numFmtId="0" fontId="225" fillId="15" borderId="17" xfId="0" applyFont="1" applyFill="1" applyBorder="1" applyAlignment="1">
      <alignment horizontal="center" vertical="center"/>
    </xf>
    <xf numFmtId="0" fontId="7" fillId="0" borderId="17" xfId="69" applyFont="1" applyFill="1" applyBorder="1" applyAlignment="1">
      <alignment horizontal="left" vertical="center" wrapText="1"/>
    </xf>
    <xf numFmtId="0" fontId="65" fillId="0" borderId="17" xfId="69" applyFont="1" applyFill="1" applyBorder="1" applyAlignment="1">
      <alignment horizontal="left" vertical="center" wrapText="1"/>
    </xf>
    <xf numFmtId="0" fontId="0" fillId="0" borderId="17" xfId="0" applyFill="1" applyBorder="1"/>
    <xf numFmtId="168" fontId="15" fillId="15" borderId="16" xfId="0" applyNumberFormat="1" applyFont="1" applyFill="1" applyBorder="1" applyAlignment="1">
      <alignment horizontal="center" vertical="center" wrapText="1"/>
    </xf>
    <xf numFmtId="168" fontId="15" fillId="0" borderId="17" xfId="0" applyNumberFormat="1" applyFont="1" applyFill="1" applyBorder="1" applyAlignment="1">
      <alignment horizontal="center" vertical="center" wrapText="1"/>
    </xf>
    <xf numFmtId="0" fontId="19" fillId="28" borderId="0" xfId="69" applyFont="1" applyFill="1" applyBorder="1" applyAlignment="1">
      <alignment horizontal="center" vertical="center" wrapText="1"/>
    </xf>
    <xf numFmtId="0" fontId="23" fillId="0" borderId="17" xfId="0" applyFont="1" applyFill="1" applyBorder="1" applyAlignment="1">
      <alignment horizontal="left" vertical="center" wrapText="1"/>
    </xf>
    <xf numFmtId="174" fontId="19" fillId="28" borderId="17" xfId="69" applyNumberFormat="1" applyFont="1" applyFill="1" applyBorder="1" applyAlignment="1">
      <alignment horizontal="center" vertical="center" wrapText="1"/>
    </xf>
    <xf numFmtId="10" fontId="0" fillId="0" borderId="17" xfId="164" applyNumberFormat="1" applyFont="1" applyBorder="1"/>
    <xf numFmtId="0" fontId="0" fillId="0" borderId="18" xfId="0" applyNumberFormat="1" applyFill="1" applyBorder="1"/>
    <xf numFmtId="0" fontId="0" fillId="0" borderId="47" xfId="0" applyBorder="1"/>
    <xf numFmtId="44" fontId="95" fillId="28" borderId="26" xfId="204" applyFont="1" applyFill="1" applyBorder="1" applyAlignment="1">
      <alignment horizontal="center"/>
    </xf>
    <xf numFmtId="0" fontId="229" fillId="0" borderId="17" xfId="0" applyFont="1" applyFill="1" applyBorder="1"/>
    <xf numFmtId="0" fontId="230" fillId="0" borderId="17" xfId="0" applyFont="1" applyFill="1" applyBorder="1" applyAlignment="1">
      <alignment vertical="center"/>
    </xf>
    <xf numFmtId="0" fontId="16" fillId="0" borderId="17" xfId="0" applyFont="1" applyFill="1" applyBorder="1"/>
    <xf numFmtId="0" fontId="87" fillId="0" borderId="17" xfId="0" applyFont="1" applyFill="1" applyBorder="1"/>
    <xf numFmtId="0" fontId="87" fillId="0" borderId="17" xfId="0" applyFont="1" applyFill="1" applyBorder="1" applyAlignment="1">
      <alignment vertical="center"/>
    </xf>
    <xf numFmtId="38" fontId="16" fillId="0" borderId="17" xfId="0" applyNumberFormat="1" applyFont="1" applyFill="1" applyBorder="1" applyAlignment="1">
      <alignment vertical="center"/>
    </xf>
    <xf numFmtId="38" fontId="88" fillId="0" borderId="17" xfId="0" applyNumberFormat="1" applyFont="1" applyFill="1" applyBorder="1" applyAlignment="1">
      <alignment vertical="center"/>
    </xf>
    <xf numFmtId="0" fontId="225" fillId="15" borderId="26" xfId="0" applyFont="1" applyFill="1" applyBorder="1" applyAlignment="1">
      <alignment horizontal="center" vertical="center"/>
    </xf>
    <xf numFmtId="0" fontId="38" fillId="17" borderId="26" xfId="0" applyFont="1" applyFill="1" applyBorder="1" applyAlignment="1">
      <alignment horizontal="center"/>
    </xf>
    <xf numFmtId="173" fontId="229" fillId="0" borderId="17" xfId="0" applyNumberFormat="1" applyFont="1" applyFill="1" applyBorder="1"/>
    <xf numFmtId="174" fontId="0" fillId="0" borderId="17" xfId="0" applyNumberFormat="1" applyFill="1" applyBorder="1" applyAlignment="1">
      <alignment horizontal="right" vertical="center"/>
    </xf>
    <xf numFmtId="174" fontId="0" fillId="0" borderId="17" xfId="0" applyNumberFormat="1" applyFill="1" applyBorder="1" applyAlignment="1">
      <alignment horizontal="right"/>
    </xf>
    <xf numFmtId="168" fontId="229" fillId="0" borderId="17" xfId="0" applyNumberFormat="1" applyFont="1" applyFill="1" applyBorder="1"/>
    <xf numFmtId="174" fontId="0" fillId="0" borderId="17" xfId="0" applyNumberFormat="1" applyFill="1" applyBorder="1" applyAlignment="1">
      <alignment vertical="center"/>
    </xf>
    <xf numFmtId="174" fontId="25" fillId="0" borderId="17" xfId="0" applyNumberFormat="1" applyFont="1" applyFill="1" applyBorder="1" applyAlignment="1">
      <alignment vertical="center"/>
    </xf>
    <xf numFmtId="174" fontId="0" fillId="0" borderId="17" xfId="0" applyNumberFormat="1" applyFill="1" applyBorder="1" applyAlignment="1"/>
    <xf numFmtId="38" fontId="225" fillId="15" borderId="74" xfId="210" applyNumberFormat="1" applyFont="1" applyFill="1" applyBorder="1" applyAlignment="1">
      <alignment vertical="center" wrapText="1"/>
    </xf>
    <xf numFmtId="173" fontId="0" fillId="0" borderId="17" xfId="0" applyNumberFormat="1" applyFill="1" applyBorder="1" applyAlignment="1"/>
    <xf numFmtId="173" fontId="0" fillId="0" borderId="17" xfId="0" applyNumberFormat="1" applyFill="1" applyBorder="1" applyAlignment="1">
      <alignment vertical="center"/>
    </xf>
    <xf numFmtId="38" fontId="225" fillId="15" borderId="75" xfId="210" applyNumberFormat="1" applyFont="1" applyFill="1" applyBorder="1" applyAlignment="1">
      <alignment vertical="center" wrapText="1"/>
    </xf>
    <xf numFmtId="38" fontId="225" fillId="15" borderId="26" xfId="210" applyNumberFormat="1" applyFont="1" applyFill="1" applyBorder="1" applyAlignment="1">
      <alignment vertical="center" wrapText="1"/>
    </xf>
    <xf numFmtId="10" fontId="0" fillId="0" borderId="17" xfId="164" applyNumberFormat="1" applyFont="1" applyFill="1" applyBorder="1" applyAlignment="1">
      <alignment horizontal="right"/>
    </xf>
    <xf numFmtId="10" fontId="25" fillId="0" borderId="17" xfId="164" applyNumberFormat="1" applyFont="1" applyFill="1" applyBorder="1" applyAlignment="1">
      <alignment horizontal="right"/>
    </xf>
    <xf numFmtId="10" fontId="0" fillId="0" borderId="17" xfId="0" applyNumberFormat="1" applyFill="1" applyBorder="1" applyAlignment="1">
      <alignment horizontal="right"/>
    </xf>
    <xf numFmtId="10" fontId="225" fillId="15" borderId="74" xfId="164" applyNumberFormat="1" applyFont="1" applyFill="1" applyBorder="1" applyAlignment="1">
      <alignment horizontal="right" vertical="center" wrapText="1"/>
    </xf>
    <xf numFmtId="10" fontId="225" fillId="15" borderId="75" xfId="164" applyNumberFormat="1" applyFont="1" applyFill="1" applyBorder="1" applyAlignment="1">
      <alignment horizontal="right" vertical="center" wrapText="1"/>
    </xf>
    <xf numFmtId="10" fontId="225" fillId="15" borderId="26" xfId="164" applyNumberFormat="1" applyFont="1" applyFill="1" applyBorder="1" applyAlignment="1">
      <alignment horizontal="right" vertical="center" wrapText="1"/>
    </xf>
    <xf numFmtId="38" fontId="29" fillId="15" borderId="74" xfId="210" applyNumberFormat="1" applyFont="1" applyFill="1" applyBorder="1" applyAlignment="1">
      <alignment vertical="center" wrapText="1"/>
    </xf>
    <xf numFmtId="38" fontId="29" fillId="15" borderId="75" xfId="210" applyNumberFormat="1" applyFont="1" applyFill="1" applyBorder="1" applyAlignment="1">
      <alignment vertical="center" wrapText="1"/>
    </xf>
    <xf numFmtId="174" fontId="225" fillId="15" borderId="75" xfId="210" applyNumberFormat="1" applyFont="1" applyFill="1" applyBorder="1" applyAlignment="1">
      <alignment vertical="center" wrapText="1"/>
    </xf>
    <xf numFmtId="38" fontId="29" fillId="15" borderId="26" xfId="210" applyNumberFormat="1" applyFont="1" applyFill="1" applyBorder="1" applyAlignment="1">
      <alignment vertical="center" wrapText="1"/>
    </xf>
    <xf numFmtId="174" fontId="225" fillId="15" borderId="26" xfId="210" applyNumberFormat="1" applyFont="1" applyFill="1" applyBorder="1" applyAlignment="1">
      <alignment vertical="center" wrapText="1"/>
    </xf>
    <xf numFmtId="0" fontId="15" fillId="15" borderId="16" xfId="0" applyFont="1" applyFill="1" applyBorder="1" applyAlignment="1">
      <alignment horizontal="right" vertical="center" wrapText="1"/>
    </xf>
    <xf numFmtId="174" fontId="15" fillId="0" borderId="17" xfId="0" applyNumberFormat="1" applyFont="1" applyFill="1" applyBorder="1" applyAlignment="1">
      <alignment horizontal="right" vertical="center" wrapText="1"/>
    </xf>
    <xf numFmtId="38" fontId="29" fillId="15" borderId="74" xfId="210" applyNumberFormat="1" applyFont="1" applyFill="1" applyBorder="1" applyAlignment="1">
      <alignment horizontal="right" vertical="center" wrapText="1"/>
    </xf>
    <xf numFmtId="38" fontId="29" fillId="15" borderId="26" xfId="210" applyNumberFormat="1" applyFont="1" applyFill="1" applyBorder="1" applyAlignment="1">
      <alignment horizontal="right" vertical="center" wrapText="1"/>
    </xf>
    <xf numFmtId="168" fontId="15" fillId="15" borderId="16" xfId="0" applyNumberFormat="1" applyFont="1" applyFill="1" applyBorder="1" applyAlignment="1">
      <alignment horizontal="right" vertical="center" wrapText="1"/>
    </xf>
    <xf numFmtId="10" fontId="15" fillId="0" borderId="17" xfId="0" applyNumberFormat="1" applyFont="1" applyFill="1" applyBorder="1" applyAlignment="1">
      <alignment horizontal="right" vertical="center" wrapText="1"/>
    </xf>
    <xf numFmtId="38" fontId="225" fillId="15" borderId="16" xfId="0" applyNumberFormat="1" applyFont="1" applyFill="1" applyBorder="1" applyAlignment="1">
      <alignment horizontal="center"/>
    </xf>
    <xf numFmtId="0" fontId="225" fillId="15" borderId="16" xfId="0" applyFont="1" applyFill="1" applyBorder="1" applyAlignment="1">
      <alignment horizontal="center" vertical="center"/>
    </xf>
    <xf numFmtId="0" fontId="10" fillId="0" borderId="76" xfId="0" applyFont="1" applyBorder="1"/>
    <xf numFmtId="0" fontId="0" fillId="0" borderId="76" xfId="0" applyFont="1" applyBorder="1"/>
    <xf numFmtId="0" fontId="10" fillId="0" borderId="76" xfId="0" applyFont="1" applyFill="1" applyBorder="1"/>
    <xf numFmtId="0" fontId="225" fillId="15" borderId="18" xfId="0" applyFont="1" applyFill="1" applyBorder="1" applyAlignment="1">
      <alignment horizontal="center" vertical="center"/>
    </xf>
    <xf numFmtId="0" fontId="0" fillId="0" borderId="17" xfId="0" applyBorder="1" applyAlignment="1">
      <alignment vertical="center"/>
    </xf>
    <xf numFmtId="0" fontId="226" fillId="15" borderId="17" xfId="0" applyFont="1" applyFill="1" applyBorder="1" applyAlignment="1">
      <alignment vertical="center"/>
    </xf>
    <xf numFmtId="0" fontId="25" fillId="0" borderId="17" xfId="0" applyFont="1" applyBorder="1"/>
    <xf numFmtId="41" fontId="11" fillId="0" borderId="17" xfId="102" applyFont="1" applyBorder="1" applyAlignment="1">
      <alignment horizontal="right" vertical="center"/>
    </xf>
    <xf numFmtId="0" fontId="229" fillId="15" borderId="17" xfId="0" applyFont="1" applyFill="1" applyBorder="1" applyAlignment="1">
      <alignment horizontal="right" vertical="center"/>
    </xf>
    <xf numFmtId="2" fontId="39" fillId="0" borderId="77" xfId="0" applyNumberFormat="1" applyFont="1" applyFill="1" applyBorder="1" applyAlignment="1">
      <alignment horizontal="center" vertical="center"/>
    </xf>
    <xf numFmtId="0" fontId="0" fillId="0" borderId="17" xfId="0" applyBorder="1" applyAlignment="1">
      <alignment horizontal="center"/>
    </xf>
    <xf numFmtId="168" fontId="39" fillId="0" borderId="77" xfId="164" applyNumberFormat="1" applyFont="1" applyFill="1" applyBorder="1" applyAlignment="1">
      <alignment horizontal="center" vertical="center"/>
    </xf>
    <xf numFmtId="2" fontId="39" fillId="0" borderId="77" xfId="164" applyNumberFormat="1" applyFont="1" applyFill="1" applyBorder="1" applyAlignment="1">
      <alignment horizontal="center" vertical="center"/>
    </xf>
    <xf numFmtId="170" fontId="0" fillId="0" borderId="17" xfId="0" applyNumberFormat="1" applyBorder="1" applyAlignment="1">
      <alignment horizontal="center"/>
    </xf>
    <xf numFmtId="171" fontId="39" fillId="0" borderId="77" xfId="0" applyNumberFormat="1" applyFont="1" applyFill="1" applyBorder="1" applyAlignment="1">
      <alignment horizontal="center" vertical="center"/>
    </xf>
    <xf numFmtId="10" fontId="39" fillId="0" borderId="77" xfId="164" applyNumberFormat="1" applyFont="1" applyFill="1" applyBorder="1" applyAlignment="1">
      <alignment horizontal="center" vertical="center"/>
    </xf>
    <xf numFmtId="1" fontId="39" fillId="0" borderId="77" xfId="0" applyNumberFormat="1" applyFont="1" applyFill="1" applyBorder="1" applyAlignment="1">
      <alignment horizontal="center" vertical="center"/>
    </xf>
    <xf numFmtId="0" fontId="39" fillId="0" borderId="77" xfId="0" applyFont="1" applyFill="1" applyBorder="1" applyAlignment="1">
      <alignment horizontal="center" vertical="center"/>
    </xf>
    <xf numFmtId="9" fontId="39" fillId="0" borderId="77" xfId="164" applyFont="1" applyFill="1" applyBorder="1" applyAlignment="1">
      <alignment horizontal="center" vertical="center"/>
    </xf>
    <xf numFmtId="0" fontId="0" fillId="0" borderId="17" xfId="0" applyBorder="1" applyAlignment="1">
      <alignment horizontal="right"/>
    </xf>
    <xf numFmtId="3" fontId="39" fillId="0" borderId="77" xfId="0" applyNumberFormat="1" applyFont="1" applyFill="1" applyBorder="1" applyAlignment="1">
      <alignment horizontal="center" vertical="center"/>
    </xf>
    <xf numFmtId="0" fontId="0" fillId="0" borderId="18" xfId="0" applyBorder="1" applyAlignment="1">
      <alignment horizontal="right"/>
    </xf>
    <xf numFmtId="0" fontId="0" fillId="35" borderId="16" xfId="0" applyFill="1" applyBorder="1" applyAlignment="1">
      <alignment vertical="center"/>
    </xf>
    <xf numFmtId="0" fontId="225" fillId="15" borderId="17" xfId="0" applyFont="1" applyFill="1" applyBorder="1" applyAlignment="1">
      <alignment vertical="center"/>
    </xf>
    <xf numFmtId="0" fontId="39" fillId="0" borderId="77" xfId="0" applyFont="1" applyFill="1" applyBorder="1" applyAlignment="1">
      <alignment vertical="center"/>
    </xf>
    <xf numFmtId="0" fontId="41" fillId="0" borderId="17" xfId="0" applyFont="1" applyFill="1" applyBorder="1" applyAlignment="1">
      <alignment vertical="center"/>
    </xf>
    <xf numFmtId="0" fontId="25" fillId="28" borderId="17" xfId="0" applyFont="1" applyFill="1" applyBorder="1"/>
    <xf numFmtId="3" fontId="25" fillId="28" borderId="17" xfId="0" applyNumberFormat="1" applyFont="1" applyFill="1" applyBorder="1" applyAlignment="1">
      <alignment horizontal="center" vertical="center"/>
    </xf>
    <xf numFmtId="0" fontId="25" fillId="28" borderId="18" xfId="0" applyFont="1" applyFill="1" applyBorder="1"/>
    <xf numFmtId="172" fontId="25" fillId="28" borderId="18" xfId="0" applyNumberFormat="1" applyFont="1" applyFill="1" applyBorder="1" applyAlignment="1">
      <alignment horizontal="center" vertical="center"/>
    </xf>
    <xf numFmtId="0" fontId="25" fillId="0" borderId="17" xfId="0" applyFont="1" applyFill="1" applyBorder="1"/>
    <xf numFmtId="3" fontId="25" fillId="0" borderId="17" xfId="0" applyNumberFormat="1" applyFont="1" applyFill="1" applyBorder="1" applyAlignment="1">
      <alignment horizontal="center" vertical="center"/>
    </xf>
    <xf numFmtId="9" fontId="0" fillId="0" borderId="17" xfId="0" applyNumberFormat="1" applyFill="1" applyBorder="1" applyAlignment="1">
      <alignment horizontal="center"/>
    </xf>
    <xf numFmtId="3" fontId="0" fillId="0" borderId="17" xfId="0" applyNumberFormat="1" applyFill="1" applyBorder="1" applyAlignment="1">
      <alignment horizontal="center" vertical="center"/>
    </xf>
    <xf numFmtId="38" fontId="0" fillId="0" borderId="17" xfId="0" applyNumberFormat="1" applyFill="1" applyBorder="1" applyAlignment="1">
      <alignment horizontal="center" vertical="center"/>
    </xf>
    <xf numFmtId="10" fontId="25" fillId="0" borderId="17" xfId="164" applyNumberFormat="1" applyFont="1" applyFill="1" applyBorder="1" applyAlignment="1">
      <alignment horizontal="center" vertical="center"/>
    </xf>
    <xf numFmtId="10" fontId="25" fillId="0" borderId="17" xfId="0" applyNumberFormat="1" applyFont="1" applyFill="1" applyBorder="1" applyAlignment="1">
      <alignment horizontal="center" vertical="center"/>
    </xf>
    <xf numFmtId="0" fontId="10" fillId="0" borderId="17" xfId="0" applyFont="1" applyFill="1" applyBorder="1"/>
    <xf numFmtId="172" fontId="25" fillId="0" borderId="17" xfId="0" applyNumberFormat="1" applyFont="1" applyFill="1" applyBorder="1" applyAlignment="1">
      <alignment horizontal="center"/>
    </xf>
    <xf numFmtId="10" fontId="25" fillId="0" borderId="17" xfId="0" applyNumberFormat="1" applyFont="1" applyFill="1" applyBorder="1" applyAlignment="1">
      <alignment horizontal="center"/>
    </xf>
    <xf numFmtId="10" fontId="0" fillId="0" borderId="18" xfId="164" applyNumberFormat="1" applyFont="1" applyFill="1" applyBorder="1" applyAlignment="1">
      <alignment horizontal="center" vertical="center"/>
    </xf>
    <xf numFmtId="0" fontId="42" fillId="0" borderId="17" xfId="0" applyFont="1" applyFill="1" applyBorder="1"/>
    <xf numFmtId="0" fontId="25" fillId="0" borderId="17" xfId="0" applyFont="1" applyFill="1" applyBorder="1" applyAlignment="1">
      <alignment horizontal="center"/>
    </xf>
    <xf numFmtId="0" fontId="46" fillId="0" borderId="18" xfId="0" applyFont="1" applyFill="1" applyBorder="1" applyAlignment="1">
      <alignment horizontal="left"/>
    </xf>
    <xf numFmtId="0" fontId="15" fillId="31" borderId="44" xfId="0" applyFont="1" applyFill="1" applyBorder="1" applyAlignment="1">
      <alignment horizontal="center" vertical="center" wrapText="1"/>
    </xf>
    <xf numFmtId="0" fontId="15" fillId="31" borderId="78" xfId="0" applyFont="1" applyFill="1" applyBorder="1" applyAlignment="1">
      <alignment horizontal="center" vertical="center" wrapText="1"/>
    </xf>
    <xf numFmtId="0" fontId="10" fillId="31" borderId="78" xfId="0" applyFont="1" applyFill="1" applyBorder="1"/>
    <xf numFmtId="0" fontId="10" fillId="0" borderId="17" xfId="0" applyFont="1" applyBorder="1" applyAlignment="1">
      <alignment horizontal="left" wrapText="1"/>
    </xf>
    <xf numFmtId="0" fontId="10" fillId="0" borderId="17" xfId="0" applyFont="1" applyBorder="1" applyAlignment="1">
      <alignment wrapText="1"/>
    </xf>
    <xf numFmtId="0" fontId="10" fillId="15" borderId="18" xfId="0" applyFont="1" applyFill="1" applyBorder="1" applyAlignment="1">
      <alignment horizontal="right"/>
    </xf>
    <xf numFmtId="0" fontId="10" fillId="15" borderId="18" xfId="0" applyFont="1" applyFill="1" applyBorder="1"/>
    <xf numFmtId="169" fontId="225" fillId="0" borderId="17" xfId="210" applyNumberFormat="1" applyFont="1" applyFill="1" applyBorder="1" applyAlignment="1">
      <alignment horizontal="center" vertical="center" wrapText="1"/>
    </xf>
    <xf numFmtId="0" fontId="229" fillId="0" borderId="17" xfId="0" applyFont="1" applyFill="1" applyBorder="1" applyAlignment="1">
      <alignment wrapText="1"/>
    </xf>
    <xf numFmtId="169" fontId="225" fillId="0" borderId="17" xfId="210" applyNumberFormat="1" applyFont="1" applyFill="1" applyBorder="1" applyAlignment="1">
      <alignment horizontal="left" vertical="center"/>
    </xf>
    <xf numFmtId="0" fontId="233" fillId="0" borderId="17" xfId="0" applyFont="1" applyFill="1" applyBorder="1"/>
    <xf numFmtId="0" fontId="225" fillId="0" borderId="17" xfId="0" applyFont="1" applyFill="1" applyBorder="1" applyAlignment="1">
      <alignment horizontal="center"/>
    </xf>
    <xf numFmtId="0" fontId="225" fillId="0" borderId="17" xfId="0" applyFont="1" applyFill="1" applyBorder="1" applyAlignment="1">
      <alignment horizontal="left"/>
    </xf>
    <xf numFmtId="0" fontId="229" fillId="0" borderId="18" xfId="0" applyFont="1" applyFill="1" applyBorder="1"/>
    <xf numFmtId="38" fontId="229" fillId="0" borderId="17" xfId="0" applyNumberFormat="1" applyFont="1" applyFill="1" applyBorder="1"/>
    <xf numFmtId="9" fontId="229" fillId="0" borderId="17" xfId="164" applyFont="1" applyFill="1" applyBorder="1"/>
    <xf numFmtId="9" fontId="225" fillId="0" borderId="17" xfId="0" applyNumberFormat="1" applyFont="1" applyFill="1" applyBorder="1" applyAlignment="1">
      <alignment horizontal="center" vertical="center"/>
    </xf>
    <xf numFmtId="172" fontId="225" fillId="0" borderId="17" xfId="0" applyNumberFormat="1" applyFont="1" applyFill="1" applyBorder="1" applyAlignment="1">
      <alignment horizontal="center"/>
    </xf>
    <xf numFmtId="10" fontId="225" fillId="0" borderId="17" xfId="0" applyNumberFormat="1" applyFont="1" applyFill="1" applyBorder="1" applyAlignment="1">
      <alignment horizontal="center"/>
    </xf>
    <xf numFmtId="167" fontId="0" fillId="0" borderId="17" xfId="210" applyNumberFormat="1" applyFont="1" applyBorder="1" applyAlignment="1">
      <alignment horizontal="center"/>
    </xf>
    <xf numFmtId="167" fontId="0" fillId="0" borderId="17" xfId="210" applyNumberFormat="1" applyFont="1" applyBorder="1"/>
    <xf numFmtId="167" fontId="0" fillId="0" borderId="17" xfId="0" applyNumberFormat="1" applyBorder="1"/>
    <xf numFmtId="167" fontId="0" fillId="15" borderId="18" xfId="210" applyNumberFormat="1" applyFont="1" applyFill="1" applyBorder="1" applyAlignment="1">
      <alignment horizontal="center"/>
    </xf>
    <xf numFmtId="0" fontId="100" fillId="15" borderId="22" xfId="0" applyFont="1" applyFill="1" applyBorder="1" applyAlignment="1">
      <alignment horizontal="center"/>
    </xf>
    <xf numFmtId="49" fontId="100" fillId="15" borderId="22" xfId="0" applyNumberFormat="1" applyFont="1" applyFill="1" applyBorder="1" applyAlignment="1">
      <alignment horizontal="center"/>
    </xf>
    <xf numFmtId="0" fontId="25" fillId="15" borderId="48" xfId="0" applyFont="1" applyFill="1" applyBorder="1"/>
    <xf numFmtId="0" fontId="0" fillId="15" borderId="3" xfId="0" applyFill="1" applyBorder="1"/>
    <xf numFmtId="0" fontId="15" fillId="15" borderId="3" xfId="0" applyFont="1" applyFill="1" applyBorder="1" applyAlignment="1">
      <alignment horizontal="center" vertical="center"/>
    </xf>
    <xf numFmtId="0" fontId="15" fillId="15" borderId="60" xfId="0" applyFont="1" applyFill="1" applyBorder="1" applyAlignment="1">
      <alignment horizontal="center" vertical="center"/>
    </xf>
    <xf numFmtId="0" fontId="10" fillId="15" borderId="5" xfId="0" applyFont="1" applyFill="1" applyBorder="1" applyAlignment="1">
      <alignment horizontal="center" vertical="center" wrapText="1"/>
    </xf>
    <xf numFmtId="0" fontId="25" fillId="21" borderId="12" xfId="0" applyFont="1" applyFill="1" applyBorder="1" applyAlignment="1">
      <alignment wrapText="1"/>
    </xf>
    <xf numFmtId="0" fontId="119" fillId="21" borderId="40" xfId="0" applyFont="1" applyFill="1" applyBorder="1" applyAlignment="1">
      <alignment horizontal="center" wrapText="1"/>
    </xf>
    <xf numFmtId="0" fontId="123" fillId="37" borderId="48" xfId="0" applyFont="1" applyFill="1" applyBorder="1"/>
    <xf numFmtId="0" fontId="0" fillId="37" borderId="79" xfId="0" applyFill="1" applyBorder="1" applyAlignment="1">
      <alignment horizontal="center" wrapText="1"/>
    </xf>
    <xf numFmtId="0" fontId="0" fillId="28" borderId="80" xfId="0" applyFill="1" applyBorder="1" applyAlignment="1">
      <alignment vertical="center" wrapText="1"/>
    </xf>
    <xf numFmtId="0" fontId="10" fillId="15" borderId="81" xfId="0" applyFont="1" applyFill="1" applyBorder="1" applyAlignment="1">
      <alignment horizontal="center" vertical="center" wrapText="1"/>
    </xf>
    <xf numFmtId="41" fontId="10" fillId="28" borderId="81" xfId="0" applyNumberFormat="1" applyFont="1" applyFill="1" applyBorder="1" applyAlignment="1">
      <alignment horizontal="center" vertical="center" wrapText="1"/>
    </xf>
    <xf numFmtId="0" fontId="10" fillId="28" borderId="81" xfId="0" applyFont="1" applyFill="1" applyBorder="1" applyAlignment="1">
      <alignment horizontal="center" vertical="center" wrapText="1"/>
    </xf>
    <xf numFmtId="0" fontId="10" fillId="28" borderId="82" xfId="0" applyFont="1" applyFill="1" applyBorder="1" applyAlignment="1">
      <alignment horizontal="center" vertical="center" wrapText="1"/>
    </xf>
    <xf numFmtId="0" fontId="103" fillId="0" borderId="83" xfId="0" applyFont="1" applyFill="1" applyBorder="1"/>
    <xf numFmtId="0" fontId="0" fillId="0" borderId="55" xfId="0" applyBorder="1"/>
    <xf numFmtId="0" fontId="103" fillId="0" borderId="84" xfId="0" applyFont="1" applyBorder="1"/>
    <xf numFmtId="0" fontId="0" fillId="0" borderId="85" xfId="0" applyBorder="1"/>
    <xf numFmtId="3" fontId="35" fillId="0" borderId="86" xfId="0" applyNumberFormat="1" applyFont="1" applyBorder="1"/>
    <xf numFmtId="0" fontId="0" fillId="0" borderId="13" xfId="0" applyBorder="1"/>
    <xf numFmtId="0" fontId="0" fillId="0" borderId="57" xfId="0" applyBorder="1"/>
    <xf numFmtId="0" fontId="229" fillId="15" borderId="0" xfId="0" applyFont="1" applyFill="1" applyBorder="1" applyAlignment="1">
      <alignment horizontal="center" vertical="center"/>
    </xf>
    <xf numFmtId="0" fontId="10" fillId="15" borderId="0" xfId="0" applyFont="1" applyFill="1" applyBorder="1"/>
    <xf numFmtId="0" fontId="41" fillId="15" borderId="78" xfId="0" applyFont="1" applyFill="1" applyBorder="1" applyAlignment="1">
      <alignment horizontal="center" vertical="center" wrapText="1"/>
    </xf>
    <xf numFmtId="3" fontId="10" fillId="0" borderId="17" xfId="0" applyNumberFormat="1" applyFont="1" applyFill="1" applyBorder="1"/>
    <xf numFmtId="4" fontId="10" fillId="0" borderId="17" xfId="0" applyNumberFormat="1" applyFont="1" applyFill="1" applyBorder="1"/>
    <xf numFmtId="4" fontId="25" fillId="15" borderId="87" xfId="0" applyNumberFormat="1" applyFont="1" applyFill="1" applyBorder="1"/>
    <xf numFmtId="2" fontId="10" fillId="0" borderId="17" xfId="0" applyNumberFormat="1" applyFont="1" applyBorder="1"/>
    <xf numFmtId="168" fontId="10" fillId="0" borderId="18" xfId="165" applyNumberFormat="1" applyFont="1" applyBorder="1"/>
    <xf numFmtId="0" fontId="10" fillId="0" borderId="16" xfId="0" applyFont="1" applyFill="1" applyBorder="1" applyAlignment="1">
      <alignment horizontal="left"/>
    </xf>
    <xf numFmtId="0" fontId="10" fillId="0" borderId="17" xfId="0" applyFont="1" applyFill="1" applyBorder="1" applyAlignment="1">
      <alignment horizontal="left"/>
    </xf>
    <xf numFmtId="0" fontId="79" fillId="0" borderId="17" xfId="0" applyFont="1" applyBorder="1"/>
    <xf numFmtId="0" fontId="25" fillId="15" borderId="87" xfId="0" applyFont="1" applyFill="1" applyBorder="1" applyAlignment="1">
      <alignment horizontal="left"/>
    </xf>
    <xf numFmtId="0" fontId="25" fillId="0" borderId="18" xfId="0" applyFont="1" applyBorder="1"/>
    <xf numFmtId="0" fontId="226" fillId="21" borderId="0" xfId="0" applyFont="1" applyFill="1" applyAlignment="1">
      <alignment horizontal="center"/>
    </xf>
    <xf numFmtId="164" fontId="10" fillId="21" borderId="22" xfId="210" applyFont="1" applyFill="1" applyBorder="1" applyAlignment="1">
      <alignment horizontal="right"/>
    </xf>
    <xf numFmtId="10" fontId="10" fillId="21" borderId="22" xfId="0" applyNumberFormat="1" applyFont="1" applyFill="1" applyBorder="1" applyAlignment="1">
      <alignment horizontal="right"/>
    </xf>
    <xf numFmtId="0" fontId="15" fillId="0" borderId="22" xfId="0" applyFont="1" applyBorder="1" applyAlignment="1">
      <alignment horizontal="center" vertical="center" wrapText="1"/>
    </xf>
    <xf numFmtId="164" fontId="10" fillId="21" borderId="22" xfId="210" applyFont="1" applyFill="1" applyBorder="1" applyAlignment="1">
      <alignment horizontal="center"/>
    </xf>
    <xf numFmtId="10" fontId="10" fillId="21" borderId="22" xfId="0" applyNumberFormat="1" applyFont="1" applyFill="1" applyBorder="1" applyAlignment="1">
      <alignment horizontal="center"/>
    </xf>
    <xf numFmtId="10" fontId="25" fillId="0" borderId="22" xfId="0" applyNumberFormat="1" applyFont="1" applyBorder="1"/>
    <xf numFmtId="167" fontId="10" fillId="21" borderId="22" xfId="210" applyNumberFormat="1" applyFont="1" applyFill="1" applyBorder="1" applyAlignment="1">
      <alignment horizontal="center"/>
    </xf>
    <xf numFmtId="167" fontId="10" fillId="25" borderId="22" xfId="210" applyNumberFormat="1" applyFont="1" applyFill="1" applyBorder="1" applyAlignment="1">
      <alignment horizontal="center"/>
    </xf>
    <xf numFmtId="10" fontId="10" fillId="21" borderId="22" xfId="0" applyNumberFormat="1" applyFont="1" applyFill="1" applyBorder="1" applyAlignment="1">
      <alignment horizontal="center" vertical="top"/>
    </xf>
    <xf numFmtId="0" fontId="45" fillId="21" borderId="61" xfId="0" applyFont="1" applyFill="1" applyBorder="1" applyAlignment="1">
      <alignment horizontal="center"/>
    </xf>
    <xf numFmtId="0" fontId="10" fillId="21" borderId="25" xfId="0" applyFont="1" applyFill="1" applyBorder="1"/>
    <xf numFmtId="0" fontId="10" fillId="21" borderId="29" xfId="0" applyFont="1" applyFill="1" applyBorder="1"/>
    <xf numFmtId="0" fontId="0" fillId="15" borderId="0" xfId="0" applyFont="1" applyFill="1" applyBorder="1" applyAlignment="1">
      <alignment horizontal="center" vertical="center" wrapText="1"/>
    </xf>
    <xf numFmtId="10" fontId="10" fillId="21" borderId="22" xfId="204" applyNumberFormat="1" applyFont="1" applyFill="1" applyBorder="1" applyAlignment="1">
      <alignment horizontal="center"/>
    </xf>
    <xf numFmtId="167" fontId="10" fillId="21" borderId="59" xfId="210" applyNumberFormat="1" applyFont="1" applyFill="1" applyBorder="1"/>
    <xf numFmtId="167" fontId="10" fillId="21" borderId="88" xfId="210" applyNumberFormat="1" applyFont="1" applyFill="1" applyBorder="1"/>
    <xf numFmtId="0" fontId="45" fillId="21" borderId="48" xfId="0" applyFont="1" applyFill="1" applyBorder="1" applyAlignment="1">
      <alignment horizontal="center"/>
    </xf>
    <xf numFmtId="0" fontId="45" fillId="21" borderId="3" xfId="0" applyFont="1" applyFill="1" applyBorder="1" applyAlignment="1">
      <alignment horizontal="center"/>
    </xf>
    <xf numFmtId="0" fontId="45" fillId="21" borderId="3" xfId="0" applyFont="1" applyFill="1" applyBorder="1"/>
    <xf numFmtId="0" fontId="45" fillId="21" borderId="60" xfId="0" applyFont="1" applyFill="1" applyBorder="1"/>
    <xf numFmtId="0" fontId="0" fillId="0" borderId="0" xfId="0" applyBorder="1" applyAlignment="1">
      <alignment horizontal="center" vertical="center"/>
    </xf>
    <xf numFmtId="0" fontId="0" fillId="21" borderId="16" xfId="0" applyFill="1" applyBorder="1"/>
    <xf numFmtId="0" fontId="0" fillId="21" borderId="17" xfId="0" applyFill="1" applyBorder="1"/>
    <xf numFmtId="0" fontId="25" fillId="21" borderId="89" xfId="0" applyFont="1" applyFill="1" applyBorder="1"/>
    <xf numFmtId="0" fontId="0" fillId="21" borderId="89" xfId="0" applyFill="1" applyBorder="1"/>
    <xf numFmtId="0" fontId="10" fillId="21" borderId="17" xfId="0" applyFont="1" applyFill="1" applyBorder="1"/>
    <xf numFmtId="0" fontId="134" fillId="21" borderId="17" xfId="0" applyFont="1" applyFill="1" applyBorder="1"/>
    <xf numFmtId="0" fontId="0" fillId="21" borderId="18" xfId="0" applyFill="1" applyBorder="1"/>
    <xf numFmtId="0" fontId="15" fillId="21" borderId="17" xfId="0" applyFont="1" applyFill="1" applyBorder="1" applyAlignment="1">
      <alignment horizontal="center" vertical="center" wrapText="1"/>
    </xf>
    <xf numFmtId="9" fontId="0" fillId="21" borderId="89" xfId="165" applyFont="1" applyFill="1" applyBorder="1"/>
    <xf numFmtId="9" fontId="0" fillId="21" borderId="17" xfId="165" applyFont="1" applyFill="1" applyBorder="1"/>
    <xf numFmtId="167" fontId="0" fillId="21" borderId="17" xfId="210" applyNumberFormat="1" applyFont="1" applyFill="1" applyBorder="1"/>
    <xf numFmtId="167" fontId="134" fillId="21" borderId="17" xfId="210" applyNumberFormat="1" applyFont="1" applyFill="1" applyBorder="1"/>
    <xf numFmtId="167" fontId="0" fillId="21" borderId="89" xfId="210" applyNumberFormat="1" applyFont="1" applyFill="1" applyBorder="1"/>
    <xf numFmtId="167" fontId="0" fillId="21" borderId="17" xfId="0" applyNumberFormat="1" applyFill="1" applyBorder="1"/>
    <xf numFmtId="168" fontId="0" fillId="21" borderId="17" xfId="165" applyNumberFormat="1" applyFont="1" applyFill="1" applyBorder="1"/>
    <xf numFmtId="177" fontId="0" fillId="21" borderId="17" xfId="210" applyNumberFormat="1" applyFont="1" applyFill="1" applyBorder="1"/>
    <xf numFmtId="164" fontId="0" fillId="21" borderId="17" xfId="210" applyFont="1" applyFill="1" applyBorder="1"/>
    <xf numFmtId="167" fontId="0" fillId="21" borderId="18" xfId="210" applyNumberFormat="1" applyFont="1" applyFill="1" applyBorder="1"/>
    <xf numFmtId="10" fontId="10" fillId="0" borderId="17" xfId="165" applyNumberFormat="1" applyFont="1" applyFill="1" applyBorder="1"/>
    <xf numFmtId="10" fontId="0" fillId="0" borderId="17" xfId="165" applyNumberFormat="1" applyFont="1" applyFill="1" applyBorder="1"/>
    <xf numFmtId="9" fontId="234" fillId="25" borderId="22" xfId="0" applyNumberFormat="1" applyFont="1" applyFill="1" applyBorder="1"/>
    <xf numFmtId="0" fontId="235" fillId="0" borderId="0" xfId="0" applyFont="1"/>
    <xf numFmtId="0" fontId="25" fillId="0" borderId="90" xfId="0" applyFont="1" applyBorder="1"/>
    <xf numFmtId="0" fontId="236" fillId="0" borderId="91" xfId="0" applyFont="1" applyBorder="1" applyAlignment="1">
      <alignment horizontal="center" wrapText="1"/>
    </xf>
    <xf numFmtId="0" fontId="237" fillId="0" borderId="92" xfId="0" applyFont="1" applyBorder="1" applyAlignment="1">
      <alignment horizontal="center" wrapText="1"/>
    </xf>
    <xf numFmtId="0" fontId="235" fillId="0" borderId="93" xfId="0" applyFont="1" applyBorder="1" applyAlignment="1">
      <alignment horizontal="center" vertical="center" wrapText="1"/>
    </xf>
    <xf numFmtId="0" fontId="237" fillId="0" borderId="94" xfId="0" applyFont="1" applyBorder="1"/>
    <xf numFmtId="0" fontId="237" fillId="0" borderId="95" xfId="0" applyFont="1" applyBorder="1" applyAlignment="1">
      <alignment wrapText="1"/>
    </xf>
    <xf numFmtId="0" fontId="237" fillId="0" borderId="96" xfId="0" applyFont="1" applyBorder="1" applyAlignment="1">
      <alignment wrapText="1"/>
    </xf>
    <xf numFmtId="0" fontId="238" fillId="38" borderId="93" xfId="0" applyFont="1" applyFill="1" applyBorder="1" applyAlignment="1">
      <alignment horizontal="center" wrapText="1"/>
    </xf>
    <xf numFmtId="0" fontId="238" fillId="39" borderId="92" xfId="0" applyFont="1" applyFill="1" applyBorder="1" applyAlignment="1">
      <alignment horizontal="center" wrapText="1"/>
    </xf>
    <xf numFmtId="0" fontId="238" fillId="40" borderId="97" xfId="0" applyFont="1" applyFill="1" applyBorder="1" applyAlignment="1">
      <alignment horizontal="center" wrapText="1"/>
    </xf>
    <xf numFmtId="0" fontId="237" fillId="0" borderId="0" xfId="0" applyFont="1"/>
    <xf numFmtId="0" fontId="239" fillId="0" borderId="0" xfId="0" applyFont="1"/>
    <xf numFmtId="0" fontId="236" fillId="0" borderId="93" xfId="0" applyFont="1" applyBorder="1" applyAlignment="1">
      <alignment horizontal="center" vertical="center" wrapText="1"/>
    </xf>
    <xf numFmtId="0" fontId="237" fillId="0" borderId="92" xfId="0" applyFont="1" applyBorder="1" applyAlignment="1">
      <alignment horizontal="center" vertical="center" wrapText="1"/>
    </xf>
    <xf numFmtId="0" fontId="235" fillId="0" borderId="97" xfId="0" applyFont="1" applyBorder="1" applyAlignment="1">
      <alignment horizontal="center" vertical="center" wrapText="1"/>
    </xf>
    <xf numFmtId="0" fontId="25" fillId="15" borderId="13" xfId="0" applyFont="1" applyFill="1" applyBorder="1"/>
    <xf numFmtId="0" fontId="15" fillId="15" borderId="13" xfId="0" applyFont="1" applyFill="1" applyBorder="1" applyAlignment="1">
      <alignment horizontal="center" vertical="center" wrapText="1"/>
    </xf>
    <xf numFmtId="0" fontId="25" fillId="15" borderId="13" xfId="0" applyFont="1" applyFill="1" applyBorder="1" applyAlignment="1">
      <alignment horizontal="center"/>
    </xf>
    <xf numFmtId="10" fontId="25" fillId="21" borderId="22" xfId="0" applyNumberFormat="1" applyFont="1" applyFill="1" applyBorder="1" applyAlignment="1">
      <alignment horizontal="center" vertical="center"/>
    </xf>
    <xf numFmtId="0" fontId="25" fillId="21" borderId="0" xfId="0" applyFont="1" applyFill="1" applyBorder="1" applyAlignment="1">
      <alignment horizontal="center"/>
    </xf>
    <xf numFmtId="0" fontId="25" fillId="21" borderId="0" xfId="0" applyFont="1" applyFill="1" applyBorder="1"/>
    <xf numFmtId="167" fontId="10" fillId="21" borderId="22" xfId="210" applyNumberFormat="1" applyFont="1" applyFill="1" applyBorder="1" applyAlignment="1">
      <alignment horizontal="center" vertical="center"/>
    </xf>
    <xf numFmtId="0" fontId="25" fillId="21" borderId="22" xfId="0" applyFont="1" applyFill="1" applyBorder="1" applyAlignment="1">
      <alignment horizontal="center"/>
    </xf>
    <xf numFmtId="0" fontId="25" fillId="21" borderId="22" xfId="0" applyFont="1" applyFill="1" applyBorder="1" applyAlignment="1">
      <alignment horizontal="center" wrapText="1"/>
    </xf>
    <xf numFmtId="0" fontId="25" fillId="21" borderId="22" xfId="0" quotePrefix="1" applyFont="1" applyFill="1" applyBorder="1" applyAlignment="1">
      <alignment horizontal="center" wrapText="1"/>
    </xf>
    <xf numFmtId="167" fontId="10" fillId="21" borderId="60" xfId="210" applyNumberFormat="1" applyFont="1" applyFill="1" applyBorder="1" applyAlignment="1">
      <alignment horizontal="center"/>
    </xf>
    <xf numFmtId="172" fontId="10" fillId="25" borderId="22" xfId="0" quotePrefix="1" applyNumberFormat="1" applyFont="1" applyFill="1" applyBorder="1" applyAlignment="1">
      <alignment horizontal="center" vertical="center"/>
    </xf>
    <xf numFmtId="9" fontId="10" fillId="25" borderId="22" xfId="0" applyNumberFormat="1" applyFont="1" applyFill="1" applyBorder="1" applyAlignment="1">
      <alignment horizontal="center" vertical="center"/>
    </xf>
    <xf numFmtId="9" fontId="25" fillId="21" borderId="22" xfId="0" applyNumberFormat="1" applyFont="1" applyFill="1" applyBorder="1"/>
    <xf numFmtId="9" fontId="25" fillId="21" borderId="22" xfId="0" applyNumberFormat="1" applyFont="1" applyFill="1" applyBorder="1" applyAlignment="1">
      <alignment horizontal="center" wrapText="1"/>
    </xf>
    <xf numFmtId="0" fontId="25" fillId="21" borderId="22" xfId="0" applyFont="1" applyFill="1" applyBorder="1"/>
    <xf numFmtId="0" fontId="25" fillId="21" borderId="22" xfId="0" applyFont="1" applyFill="1" applyBorder="1" applyAlignment="1">
      <alignment horizontal="center" vertical="center" wrapText="1"/>
    </xf>
    <xf numFmtId="0" fontId="10" fillId="21" borderId="22" xfId="0" applyFont="1" applyFill="1" applyBorder="1" applyAlignment="1">
      <alignment horizontal="center"/>
    </xf>
    <xf numFmtId="0" fontId="10" fillId="21" borderId="22" xfId="0" applyFont="1" applyFill="1" applyBorder="1"/>
    <xf numFmtId="0" fontId="25" fillId="21" borderId="22" xfId="0" applyFont="1" applyFill="1" applyBorder="1" applyAlignment="1">
      <alignment wrapText="1"/>
    </xf>
    <xf numFmtId="0" fontId="25" fillId="21" borderId="48" xfId="0" applyFont="1" applyFill="1" applyBorder="1" applyAlignment="1">
      <alignment horizontal="center" vertical="center" wrapText="1"/>
    </xf>
    <xf numFmtId="0" fontId="25" fillId="21" borderId="48" xfId="0" applyFont="1" applyFill="1" applyBorder="1" applyAlignment="1">
      <alignment horizontal="center"/>
    </xf>
    <xf numFmtId="0" fontId="25" fillId="21" borderId="48" xfId="0" applyFont="1" applyFill="1" applyBorder="1" applyAlignment="1">
      <alignment horizontal="center" wrapText="1"/>
    </xf>
    <xf numFmtId="0" fontId="25" fillId="21" borderId="48" xfId="0" quotePrefix="1" applyFont="1" applyFill="1" applyBorder="1" applyAlignment="1">
      <alignment horizontal="center" wrapText="1"/>
    </xf>
    <xf numFmtId="10" fontId="25" fillId="21" borderId="60" xfId="0" applyNumberFormat="1" applyFont="1" applyFill="1" applyBorder="1" applyAlignment="1">
      <alignment horizontal="center" vertical="center"/>
    </xf>
    <xf numFmtId="167" fontId="10" fillId="21" borderId="60" xfId="210" applyNumberFormat="1" applyFont="1" applyFill="1" applyBorder="1" applyAlignment="1">
      <alignment horizontal="center" vertical="center"/>
    </xf>
    <xf numFmtId="9" fontId="25" fillId="21" borderId="60" xfId="164" applyFont="1" applyFill="1" applyBorder="1" applyAlignment="1">
      <alignment horizontal="center"/>
    </xf>
    <xf numFmtId="9" fontId="25" fillId="21" borderId="22" xfId="164" applyFont="1" applyFill="1" applyBorder="1" applyAlignment="1">
      <alignment horizontal="center"/>
    </xf>
    <xf numFmtId="0" fontId="25" fillId="32" borderId="52" xfId="0" applyFont="1" applyFill="1" applyBorder="1"/>
    <xf numFmtId="0" fontId="0" fillId="32" borderId="53" xfId="0" applyFill="1" applyBorder="1"/>
    <xf numFmtId="0" fontId="0" fillId="32" borderId="54" xfId="0" applyFill="1" applyBorder="1"/>
    <xf numFmtId="0" fontId="0" fillId="32" borderId="9" xfId="0" applyFill="1" applyBorder="1"/>
    <xf numFmtId="0" fontId="0" fillId="32" borderId="0" xfId="0" applyFill="1" applyBorder="1"/>
    <xf numFmtId="0" fontId="0" fillId="32" borderId="55" xfId="0" applyFill="1" applyBorder="1"/>
    <xf numFmtId="0" fontId="10" fillId="32" borderId="9" xfId="0" applyFont="1" applyFill="1" applyBorder="1"/>
    <xf numFmtId="0" fontId="0" fillId="32" borderId="56" xfId="0" applyFill="1" applyBorder="1"/>
    <xf numFmtId="0" fontId="0" fillId="32" borderId="13" xfId="0" applyFill="1" applyBorder="1"/>
    <xf numFmtId="0" fontId="0" fillId="32" borderId="57" xfId="0" applyFill="1" applyBorder="1"/>
    <xf numFmtId="10" fontId="93" fillId="41" borderId="22" xfId="165" applyNumberFormat="1" applyFont="1" applyFill="1" applyBorder="1"/>
    <xf numFmtId="9" fontId="93" fillId="41" borderId="22" xfId="165" applyNumberFormat="1" applyFont="1" applyFill="1" applyBorder="1"/>
    <xf numFmtId="169" fontId="93" fillId="15" borderId="34" xfId="211" applyNumberFormat="1" applyFont="1" applyFill="1" applyBorder="1" applyAlignment="1">
      <alignment horizontal="left" wrapText="1"/>
    </xf>
    <xf numFmtId="3" fontId="93" fillId="15" borderId="36" xfId="0" applyNumberFormat="1" applyFont="1" applyFill="1" applyBorder="1"/>
    <xf numFmtId="3" fontId="93" fillId="15" borderId="98" xfId="0" applyNumberFormat="1" applyFont="1" applyFill="1" applyBorder="1"/>
    <xf numFmtId="3" fontId="93" fillId="15" borderId="99" xfId="0" applyNumberFormat="1" applyFont="1" applyFill="1" applyBorder="1"/>
    <xf numFmtId="3" fontId="93" fillId="15" borderId="29" xfId="0" applyNumberFormat="1" applyFont="1" applyFill="1" applyBorder="1"/>
    <xf numFmtId="169" fontId="25" fillId="15" borderId="35" xfId="211" applyNumberFormat="1" applyFont="1" applyFill="1" applyBorder="1" applyAlignment="1">
      <alignment horizontal="left" wrapText="1"/>
    </xf>
    <xf numFmtId="0" fontId="15" fillId="15" borderId="22" xfId="0" applyFont="1" applyFill="1" applyBorder="1" applyAlignment="1">
      <alignment horizontal="center" vertical="center" wrapText="1"/>
    </xf>
    <xf numFmtId="3" fontId="68" fillId="0" borderId="36" xfId="0" applyNumberFormat="1" applyFont="1" applyBorder="1"/>
    <xf numFmtId="9" fontId="68" fillId="0" borderId="36" xfId="165" applyFont="1" applyBorder="1"/>
    <xf numFmtId="3" fontId="68" fillId="0" borderId="36" xfId="0" applyNumberFormat="1" applyFont="1" applyFill="1" applyBorder="1"/>
    <xf numFmtId="0" fontId="240" fillId="17" borderId="22" xfId="194" applyFont="1" applyFill="1" applyBorder="1" applyAlignment="1">
      <alignment horizontal="center" vertical="center"/>
    </xf>
    <xf numFmtId="0" fontId="17" fillId="17" borderId="22" xfId="194" applyFont="1" applyFill="1" applyBorder="1" applyAlignment="1">
      <alignment horizontal="center" vertical="center"/>
    </xf>
    <xf numFmtId="0" fontId="73" fillId="17" borderId="22" xfId="0" applyFont="1" applyFill="1" applyBorder="1" applyAlignment="1">
      <alignment horizontal="center"/>
    </xf>
    <xf numFmtId="169" fontId="227" fillId="0" borderId="0" xfId="210" applyNumberFormat="1" applyFont="1" applyFill="1" applyBorder="1" applyAlignment="1">
      <alignment vertical="center" wrapText="1"/>
    </xf>
    <xf numFmtId="0" fontId="32" fillId="0" borderId="0" xfId="42" applyFont="1" applyAlignment="1" applyProtection="1"/>
    <xf numFmtId="38" fontId="0" fillId="0" borderId="76" xfId="0" applyNumberFormat="1" applyBorder="1" applyAlignment="1">
      <alignment horizontal="right"/>
    </xf>
    <xf numFmtId="38" fontId="225" fillId="15" borderId="74" xfId="210" applyNumberFormat="1" applyFont="1" applyFill="1" applyBorder="1" applyAlignment="1">
      <alignment horizontal="right" vertical="center" wrapText="1"/>
    </xf>
    <xf numFmtId="38" fontId="0" fillId="0" borderId="76" xfId="0" applyNumberFormat="1" applyFill="1" applyBorder="1" applyAlignment="1">
      <alignment horizontal="right"/>
    </xf>
    <xf numFmtId="38" fontId="225" fillId="15" borderId="100" xfId="210" applyNumberFormat="1" applyFont="1" applyFill="1" applyBorder="1" applyAlignment="1">
      <alignment horizontal="right" vertical="center" wrapText="1"/>
    </xf>
    <xf numFmtId="38" fontId="0" fillId="0" borderId="20" xfId="0" applyNumberFormat="1" applyBorder="1" applyAlignment="1">
      <alignment horizontal="right"/>
    </xf>
    <xf numFmtId="38" fontId="25" fillId="0" borderId="20" xfId="0" applyNumberFormat="1" applyFont="1" applyBorder="1" applyAlignment="1">
      <alignment horizontal="right"/>
    </xf>
    <xf numFmtId="235" fontId="0" fillId="0" borderId="17" xfId="0" applyNumberFormat="1" applyFill="1" applyBorder="1" applyAlignment="1">
      <alignment vertical="center"/>
    </xf>
    <xf numFmtId="0" fontId="230" fillId="21" borderId="17" xfId="0" applyFont="1" applyFill="1" applyBorder="1" applyAlignment="1">
      <alignment vertical="center"/>
    </xf>
    <xf numFmtId="174" fontId="229" fillId="21" borderId="17" xfId="0" applyNumberFormat="1" applyFont="1" applyFill="1" applyBorder="1"/>
    <xf numFmtId="0" fontId="229" fillId="21" borderId="17" xfId="0" applyFont="1" applyFill="1" applyBorder="1"/>
    <xf numFmtId="168" fontId="229" fillId="21" borderId="17" xfId="0" applyNumberFormat="1" applyFont="1" applyFill="1" applyBorder="1"/>
    <xf numFmtId="0" fontId="32" fillId="15" borderId="17" xfId="42" applyFill="1" applyBorder="1" applyAlignment="1" applyProtection="1">
      <alignment vertical="center" wrapText="1"/>
    </xf>
    <xf numFmtId="0" fontId="21" fillId="15" borderId="0" xfId="69" applyFont="1" applyFill="1" applyBorder="1" applyAlignment="1">
      <alignment vertical="center" wrapText="1"/>
    </xf>
    <xf numFmtId="0" fontId="21" fillId="15" borderId="17" xfId="69" applyFont="1" applyFill="1" applyBorder="1" applyAlignment="1">
      <alignment vertical="center" wrapText="1"/>
    </xf>
    <xf numFmtId="0" fontId="0" fillId="15" borderId="0" xfId="0" applyFill="1" applyBorder="1"/>
    <xf numFmtId="38" fontId="29" fillId="21" borderId="0" xfId="210" applyNumberFormat="1" applyFont="1" applyFill="1" applyBorder="1" applyAlignment="1">
      <alignment horizontal="center" vertical="center" wrapText="1"/>
    </xf>
    <xf numFmtId="0" fontId="225" fillId="21" borderId="17" xfId="0" applyFont="1" applyFill="1" applyBorder="1" applyAlignment="1">
      <alignment horizontal="left" vertical="center"/>
    </xf>
    <xf numFmtId="174" fontId="9" fillId="0" borderId="17" xfId="69" applyNumberFormat="1" applyFont="1" applyFill="1" applyBorder="1" applyAlignment="1">
      <alignment horizontal="right" vertical="center"/>
    </xf>
    <xf numFmtId="38" fontId="225" fillId="21" borderId="17" xfId="210" applyNumberFormat="1" applyFont="1" applyFill="1" applyBorder="1" applyAlignment="1">
      <alignment horizontal="right" vertical="center" wrapText="1"/>
    </xf>
    <xf numFmtId="174" fontId="9" fillId="0" borderId="17" xfId="69" applyNumberFormat="1" applyFont="1" applyFill="1" applyBorder="1" applyAlignment="1">
      <alignment horizontal="right" vertical="center" wrapText="1"/>
    </xf>
    <xf numFmtId="0" fontId="21" fillId="15" borderId="17" xfId="69" applyFont="1" applyFill="1" applyBorder="1" applyAlignment="1">
      <alignment horizontal="right" vertical="center" wrapText="1"/>
    </xf>
    <xf numFmtId="38" fontId="225" fillId="15" borderId="17" xfId="210" applyNumberFormat="1" applyFont="1" applyFill="1" applyBorder="1" applyAlignment="1">
      <alignment horizontal="right" vertical="center" wrapText="1"/>
    </xf>
    <xf numFmtId="174" fontId="15" fillId="28" borderId="18" xfId="194" applyNumberFormat="1" applyFont="1" applyFill="1" applyBorder="1" applyAlignment="1">
      <alignment horizontal="right" vertical="center"/>
    </xf>
    <xf numFmtId="0" fontId="32" fillId="28" borderId="17" xfId="42" applyFill="1" applyBorder="1" applyAlignment="1" applyProtection="1">
      <alignment horizontal="left" wrapText="1"/>
    </xf>
    <xf numFmtId="0" fontId="81" fillId="28" borderId="0" xfId="69" applyFont="1" applyFill="1" applyBorder="1" applyAlignment="1">
      <alignment horizontal="center" wrapText="1"/>
    </xf>
    <xf numFmtId="0" fontId="81" fillId="28" borderId="17" xfId="69" applyFont="1" applyFill="1" applyBorder="1" applyAlignment="1">
      <alignment horizontal="center" wrapText="1"/>
    </xf>
    <xf numFmtId="0" fontId="225" fillId="15" borderId="17" xfId="0" applyFont="1" applyFill="1" applyBorder="1" applyAlignment="1">
      <alignment horizontal="left" vertical="center"/>
    </xf>
    <xf numFmtId="38" fontId="29" fillId="0" borderId="0" xfId="210" applyNumberFormat="1" applyFont="1" applyFill="1" applyBorder="1" applyAlignment="1">
      <alignment horizontal="center" vertical="center" wrapText="1"/>
    </xf>
    <xf numFmtId="0" fontId="0" fillId="0" borderId="0" xfId="0" applyFill="1" applyBorder="1" applyAlignment="1">
      <alignment horizontal="center"/>
    </xf>
    <xf numFmtId="0" fontId="8" fillId="0" borderId="17" xfId="69" applyFont="1" applyFill="1" applyBorder="1" applyAlignment="1">
      <alignment horizontal="left" vertical="center" wrapText="1"/>
    </xf>
    <xf numFmtId="0" fontId="3" fillId="0" borderId="17" xfId="69" applyFont="1" applyFill="1" applyBorder="1" applyAlignment="1">
      <alignment horizontal="left" vertical="center" wrapText="1"/>
    </xf>
    <xf numFmtId="174" fontId="9" fillId="0" borderId="17" xfId="69" applyNumberFormat="1" applyFont="1" applyFill="1" applyBorder="1" applyAlignment="1">
      <alignment vertical="center" wrapText="1"/>
    </xf>
    <xf numFmtId="38" fontId="225" fillId="0" borderId="17" xfId="210" applyNumberFormat="1" applyFont="1" applyFill="1" applyBorder="1" applyAlignment="1">
      <alignment vertical="center" wrapText="1"/>
    </xf>
    <xf numFmtId="174" fontId="9" fillId="0" borderId="17" xfId="69" applyNumberFormat="1" applyFont="1" applyFill="1" applyBorder="1" applyAlignment="1">
      <alignment vertical="center"/>
    </xf>
    <xf numFmtId="174" fontId="19" fillId="28" borderId="17" xfId="69" applyNumberFormat="1" applyFont="1" applyFill="1" applyBorder="1" applyAlignment="1">
      <alignment vertical="center" wrapText="1"/>
    </xf>
    <xf numFmtId="174" fontId="15" fillId="0" borderId="17" xfId="204" applyNumberFormat="1" applyFont="1" applyFill="1" applyBorder="1" applyAlignment="1">
      <alignment vertical="center"/>
    </xf>
    <xf numFmtId="174" fontId="15" fillId="28" borderId="18" xfId="194" applyNumberFormat="1" applyFont="1" applyFill="1" applyBorder="1" applyAlignment="1">
      <alignment vertical="center"/>
    </xf>
    <xf numFmtId="0" fontId="4" fillId="0" borderId="17" xfId="69" applyFont="1" applyFill="1" applyBorder="1" applyAlignment="1">
      <alignment horizontal="left" vertical="center" wrapText="1"/>
    </xf>
    <xf numFmtId="174" fontId="23" fillId="0" borderId="17" xfId="204" applyNumberFormat="1" applyFont="1" applyFill="1" applyBorder="1" applyAlignment="1">
      <alignment vertical="center"/>
    </xf>
    <xf numFmtId="0" fontId="0" fillId="0" borderId="18" xfId="0" applyBorder="1" applyAlignment="1">
      <alignment horizontal="center" vertical="center"/>
    </xf>
    <xf numFmtId="0" fontId="0" fillId="0" borderId="0" xfId="0" applyFill="1"/>
    <xf numFmtId="0" fontId="25" fillId="28" borderId="16" xfId="0" applyFont="1" applyFill="1" applyBorder="1" applyAlignment="1">
      <alignment horizontal="center"/>
    </xf>
    <xf numFmtId="2" fontId="0" fillId="0" borderId="17" xfId="0" applyNumberFormat="1" applyBorder="1"/>
    <xf numFmtId="9" fontId="0" fillId="0" borderId="18" xfId="165" applyFont="1" applyBorder="1"/>
    <xf numFmtId="0" fontId="25" fillId="28" borderId="16" xfId="0" applyFont="1" applyFill="1" applyBorder="1"/>
    <xf numFmtId="0" fontId="0" fillId="0" borderId="17" xfId="0" applyFont="1" applyBorder="1"/>
    <xf numFmtId="0" fontId="0" fillId="0" borderId="18" xfId="0" applyFont="1" applyBorder="1"/>
    <xf numFmtId="9" fontId="0" fillId="0" borderId="17" xfId="165" applyFont="1" applyBorder="1"/>
    <xf numFmtId="164" fontId="0" fillId="0" borderId="17" xfId="212" applyFont="1" applyBorder="1"/>
    <xf numFmtId="0" fontId="0" fillId="0" borderId="17" xfId="0" applyFont="1" applyFill="1" applyBorder="1"/>
    <xf numFmtId="2" fontId="0" fillId="0" borderId="17" xfId="0" applyNumberFormat="1" applyFill="1" applyBorder="1"/>
    <xf numFmtId="0" fontId="32" fillId="0" borderId="0" xfId="42" applyFill="1" applyBorder="1" applyAlignment="1" applyProtection="1"/>
    <xf numFmtId="9" fontId="0" fillId="0" borderId="17" xfId="164" applyFont="1" applyBorder="1" applyAlignment="1">
      <alignment horizontal="right"/>
    </xf>
    <xf numFmtId="38" fontId="0" fillId="0" borderId="17" xfId="0" applyNumberFormat="1" applyBorder="1" applyAlignment="1">
      <alignment horizontal="right" vertical="center"/>
    </xf>
    <xf numFmtId="2" fontId="0" fillId="0" borderId="17" xfId="0" applyNumberFormat="1" applyBorder="1" applyAlignment="1">
      <alignment horizontal="right"/>
    </xf>
    <xf numFmtId="0" fontId="0" fillId="0" borderId="0" xfId="0" applyBorder="1" applyAlignment="1">
      <alignment horizontal="right"/>
    </xf>
    <xf numFmtId="0" fontId="15" fillId="31" borderId="26" xfId="0" applyFont="1" applyFill="1" applyBorder="1" applyAlignment="1">
      <alignment horizontal="right" vertical="center" wrapText="1"/>
    </xf>
    <xf numFmtId="3" fontId="0" fillId="0" borderId="17" xfId="0" applyNumberFormat="1" applyBorder="1" applyAlignment="1">
      <alignment horizontal="right" vertical="center"/>
    </xf>
    <xf numFmtId="3" fontId="25" fillId="21" borderId="17" xfId="0" applyNumberFormat="1" applyFont="1" applyFill="1" applyBorder="1" applyAlignment="1">
      <alignment horizontal="right" vertical="center"/>
    </xf>
    <xf numFmtId="172" fontId="25" fillId="15" borderId="17" xfId="0" applyNumberFormat="1" applyFont="1" applyFill="1" applyBorder="1" applyAlignment="1">
      <alignment horizontal="right" vertical="center"/>
    </xf>
    <xf numFmtId="172" fontId="25" fillId="21" borderId="17" xfId="0" applyNumberFormat="1" applyFont="1" applyFill="1" applyBorder="1" applyAlignment="1">
      <alignment horizontal="right" vertical="center"/>
    </xf>
    <xf numFmtId="3" fontId="25" fillId="15" borderId="17" xfId="0" applyNumberFormat="1" applyFont="1" applyFill="1" applyBorder="1" applyAlignment="1">
      <alignment horizontal="right" vertical="center"/>
    </xf>
    <xf numFmtId="0" fontId="99" fillId="31" borderId="16" xfId="0" applyFont="1" applyFill="1" applyBorder="1"/>
    <xf numFmtId="0" fontId="0" fillId="0" borderId="46" xfId="0" applyFill="1" applyBorder="1"/>
    <xf numFmtId="0" fontId="25" fillId="15" borderId="17" xfId="0" applyFont="1" applyFill="1" applyBorder="1" applyAlignment="1">
      <alignment horizontal="right"/>
    </xf>
    <xf numFmtId="0" fontId="25" fillId="15" borderId="46" xfId="0" applyFont="1" applyFill="1" applyBorder="1"/>
    <xf numFmtId="9" fontId="25" fillId="15" borderId="17" xfId="0" applyNumberFormat="1" applyFont="1" applyFill="1" applyBorder="1" applyAlignment="1">
      <alignment horizontal="center"/>
    </xf>
    <xf numFmtId="0" fontId="42" fillId="15" borderId="17" xfId="0" applyFont="1" applyFill="1" applyBorder="1" applyAlignment="1">
      <alignment horizontal="right"/>
    </xf>
    <xf numFmtId="0" fontId="0" fillId="15" borderId="46" xfId="0" applyFill="1" applyBorder="1"/>
    <xf numFmtId="38" fontId="225" fillId="0" borderId="17" xfId="210" applyNumberFormat="1" applyFont="1" applyFill="1" applyBorder="1" applyAlignment="1">
      <alignment horizontal="right" vertical="center"/>
    </xf>
    <xf numFmtId="3" fontId="0" fillId="0" borderId="17" xfId="0" applyNumberFormat="1" applyBorder="1" applyAlignment="1">
      <alignment horizontal="right"/>
    </xf>
    <xf numFmtId="167" fontId="0" fillId="0" borderId="17" xfId="210" applyNumberFormat="1" applyFont="1" applyBorder="1" applyAlignment="1">
      <alignment horizontal="right"/>
    </xf>
    <xf numFmtId="0" fontId="17" fillId="0" borderId="0" xfId="194" applyFont="1" applyFill="1" applyBorder="1" applyAlignment="1">
      <alignment horizontal="center" vertical="center"/>
    </xf>
    <xf numFmtId="0" fontId="116" fillId="0" borderId="22" xfId="146" applyFont="1" applyFill="1" applyBorder="1" applyAlignment="1">
      <alignment horizontal="centerContinuous" vertical="center"/>
    </xf>
    <xf numFmtId="0" fontId="242" fillId="17" borderId="58" xfId="0" applyFont="1" applyFill="1" applyBorder="1" applyAlignment="1">
      <alignment horizontal="center"/>
    </xf>
    <xf numFmtId="0" fontId="242" fillId="17" borderId="22" xfId="0" applyFont="1" applyFill="1" applyBorder="1" applyAlignment="1">
      <alignment horizontal="center"/>
    </xf>
    <xf numFmtId="0" fontId="32" fillId="15" borderId="17" xfId="42" applyFill="1" applyBorder="1" applyAlignment="1" applyProtection="1">
      <alignment horizontal="left" vertical="center" wrapText="1"/>
    </xf>
    <xf numFmtId="0" fontId="0" fillId="0" borderId="17" xfId="0" applyFill="1" applyBorder="1" applyAlignment="1">
      <alignment horizontal="left"/>
    </xf>
    <xf numFmtId="0" fontId="15" fillId="28" borderId="18" xfId="194" applyFont="1" applyFill="1" applyBorder="1" applyAlignment="1">
      <alignment horizontal="left" vertical="center" wrapText="1"/>
    </xf>
    <xf numFmtId="0" fontId="15" fillId="0" borderId="0" xfId="194" applyFont="1" applyBorder="1" applyAlignment="1">
      <alignment horizontal="left" vertical="center" wrapText="1"/>
    </xf>
    <xf numFmtId="0" fontId="15" fillId="0" borderId="0" xfId="194" applyFont="1" applyBorder="1" applyAlignment="1">
      <alignment horizontal="left" vertical="center"/>
    </xf>
    <xf numFmtId="0" fontId="86" fillId="15" borderId="16" xfId="0" applyFont="1" applyFill="1" applyBorder="1" applyAlignment="1">
      <alignment horizontal="left" vertical="center" wrapText="1"/>
    </xf>
    <xf numFmtId="0" fontId="86" fillId="0" borderId="17" xfId="0" applyFont="1" applyFill="1" applyBorder="1" applyAlignment="1">
      <alignment horizontal="left" vertical="center" wrapText="1"/>
    </xf>
    <xf numFmtId="0" fontId="232" fillId="28" borderId="17" xfId="69" applyFont="1" applyFill="1" applyBorder="1" applyAlignment="1">
      <alignment horizontal="left" vertical="center" wrapText="1"/>
    </xf>
    <xf numFmtId="0" fontId="225" fillId="0" borderId="17" xfId="0" applyFont="1" applyFill="1" applyBorder="1" applyAlignment="1">
      <alignment horizontal="left" vertical="center"/>
    </xf>
    <xf numFmtId="0" fontId="231" fillId="0" borderId="17" xfId="69" applyFont="1" applyFill="1" applyBorder="1" applyAlignment="1">
      <alignment horizontal="left" vertical="center" wrapText="1"/>
    </xf>
    <xf numFmtId="0" fontId="243" fillId="15" borderId="0" xfId="0" applyFont="1" applyFill="1"/>
    <xf numFmtId="0" fontId="244" fillId="15" borderId="0" xfId="0" applyFont="1" applyFill="1"/>
    <xf numFmtId="0" fontId="10" fillId="0" borderId="0" xfId="133"/>
    <xf numFmtId="0" fontId="25" fillId="0" borderId="0" xfId="133" applyFont="1"/>
    <xf numFmtId="0" fontId="0" fillId="0" borderId="0" xfId="0" applyFont="1"/>
    <xf numFmtId="0" fontId="10" fillId="0" borderId="13" xfId="133" applyBorder="1"/>
    <xf numFmtId="0" fontId="10" fillId="0" borderId="53" xfId="133" applyBorder="1"/>
    <xf numFmtId="3" fontId="10" fillId="0" borderId="0" xfId="133" applyNumberFormat="1"/>
    <xf numFmtId="0" fontId="10" fillId="0" borderId="0" xfId="133" applyFill="1" applyBorder="1"/>
    <xf numFmtId="0" fontId="10" fillId="0" borderId="0" xfId="133" applyBorder="1"/>
    <xf numFmtId="10" fontId="10" fillId="0" borderId="0" xfId="164" applyNumberFormat="1" applyFont="1"/>
    <xf numFmtId="10" fontId="10" fillId="0" borderId="0" xfId="133" applyNumberFormat="1"/>
    <xf numFmtId="3" fontId="10" fillId="0" borderId="0" xfId="133" quotePrefix="1" applyNumberFormat="1"/>
    <xf numFmtId="10" fontId="10" fillId="0" borderId="0" xfId="164" applyNumberFormat="1" applyFont="1" applyFill="1" applyBorder="1"/>
    <xf numFmtId="9" fontId="10" fillId="0" borderId="0" xfId="164" applyFont="1" applyFill="1" applyBorder="1"/>
    <xf numFmtId="10" fontId="25" fillId="0" borderId="0" xfId="164" applyNumberFormat="1" applyFont="1"/>
    <xf numFmtId="3" fontId="25" fillId="0" borderId="0" xfId="133" applyNumberFormat="1" applyFont="1"/>
    <xf numFmtId="168" fontId="25" fillId="0" borderId="0" xfId="164" applyNumberFormat="1" applyFont="1"/>
    <xf numFmtId="0" fontId="25" fillId="0" borderId="0" xfId="133" applyFont="1" applyBorder="1" applyAlignment="1">
      <alignment horizontal="center"/>
    </xf>
    <xf numFmtId="0" fontId="25" fillId="0" borderId="0" xfId="133" applyFont="1" applyBorder="1"/>
    <xf numFmtId="3" fontId="25" fillId="0" borderId="13" xfId="133" applyNumberFormat="1" applyFont="1" applyBorder="1" applyAlignment="1">
      <alignment horizontal="center"/>
    </xf>
    <xf numFmtId="3" fontId="25" fillId="0" borderId="0" xfId="133" applyNumberFormat="1" applyFont="1" applyBorder="1" applyAlignment="1">
      <alignment horizontal="center"/>
    </xf>
    <xf numFmtId="3" fontId="25" fillId="0" borderId="0" xfId="133" applyNumberFormat="1" applyFont="1" applyAlignment="1">
      <alignment horizontal="center"/>
    </xf>
    <xf numFmtId="39" fontId="25" fillId="0" borderId="0" xfId="210" applyNumberFormat="1" applyFont="1" applyAlignment="1">
      <alignment horizontal="left" vertical="center"/>
    </xf>
    <xf numFmtId="0" fontId="10" fillId="0" borderId="13" xfId="133" applyBorder="1" applyAlignment="1">
      <alignment horizontal="center"/>
    </xf>
    <xf numFmtId="3" fontId="0" fillId="0" borderId="0" xfId="133" quotePrefix="1" applyNumberFormat="1" applyFont="1"/>
    <xf numFmtId="0" fontId="10" fillId="0" borderId="53" xfId="133" applyFill="1" applyBorder="1"/>
    <xf numFmtId="0" fontId="10" fillId="0" borderId="0" xfId="133" applyFill="1"/>
    <xf numFmtId="3" fontId="10" fillId="0" borderId="0" xfId="133" applyNumberFormat="1" applyFill="1"/>
    <xf numFmtId="3" fontId="0" fillId="0" borderId="0" xfId="133" applyNumberFormat="1" applyFont="1" applyFill="1"/>
    <xf numFmtId="0" fontId="10" fillId="0" borderId="0" xfId="133" applyFont="1" applyFill="1"/>
    <xf numFmtId="10" fontId="10" fillId="0" borderId="0" xfId="164" applyNumberFormat="1" applyFont="1" applyFill="1"/>
    <xf numFmtId="0" fontId="17" fillId="17" borderId="9" xfId="194" applyFont="1" applyFill="1" applyBorder="1" applyAlignment="1">
      <alignment vertical="center"/>
    </xf>
    <xf numFmtId="0" fontId="17" fillId="17" borderId="0" xfId="194" applyFont="1" applyFill="1" applyBorder="1" applyAlignment="1">
      <alignment vertical="center"/>
    </xf>
    <xf numFmtId="0" fontId="25" fillId="35" borderId="13" xfId="133" applyFont="1" applyFill="1" applyBorder="1" applyAlignment="1">
      <alignment horizontal="center"/>
    </xf>
    <xf numFmtId="0" fontId="25" fillId="35" borderId="0" xfId="133" applyFont="1" applyFill="1" applyBorder="1" applyAlignment="1">
      <alignment horizontal="center"/>
    </xf>
    <xf numFmtId="0" fontId="25" fillId="35" borderId="0" xfId="133" applyFont="1" applyFill="1"/>
    <xf numFmtId="0" fontId="25" fillId="35" borderId="0" xfId="133" applyFont="1" applyFill="1" applyAlignment="1">
      <alignment horizontal="center"/>
    </xf>
    <xf numFmtId="0" fontId="25" fillId="35" borderId="0" xfId="133" applyFont="1" applyFill="1" applyBorder="1" applyAlignment="1">
      <alignment horizontal="center" vertical="distributed"/>
    </xf>
    <xf numFmtId="0" fontId="25" fillId="13" borderId="0" xfId="133" applyFont="1" applyFill="1"/>
    <xf numFmtId="0" fontId="25" fillId="13" borderId="13" xfId="133" applyFont="1" applyFill="1" applyBorder="1" applyAlignment="1">
      <alignment horizontal="center"/>
    </xf>
    <xf numFmtId="0" fontId="25" fillId="13" borderId="0" xfId="133" applyFont="1" applyFill="1" applyBorder="1" applyAlignment="1">
      <alignment horizontal="center" vertical="distributed"/>
    </xf>
    <xf numFmtId="0" fontId="25" fillId="13" borderId="0" xfId="133" applyFont="1" applyFill="1" applyAlignment="1">
      <alignment horizontal="center"/>
    </xf>
    <xf numFmtId="3" fontId="25" fillId="13" borderId="13" xfId="133" applyNumberFormat="1" applyFont="1" applyFill="1" applyBorder="1" applyAlignment="1">
      <alignment horizontal="center"/>
    </xf>
    <xf numFmtId="3" fontId="25" fillId="13" borderId="0" xfId="133" applyNumberFormat="1" applyFont="1" applyFill="1" applyAlignment="1">
      <alignment horizontal="center"/>
    </xf>
    <xf numFmtId="39" fontId="25" fillId="13" borderId="0" xfId="210" applyNumberFormat="1" applyFont="1" applyFill="1" applyAlignment="1">
      <alignment horizontal="left" vertical="center"/>
    </xf>
    <xf numFmtId="168" fontId="25" fillId="13" borderId="0" xfId="164" applyNumberFormat="1" applyFont="1" applyFill="1" applyAlignment="1">
      <alignment horizontal="left" vertical="center"/>
    </xf>
    <xf numFmtId="4" fontId="25" fillId="13" borderId="13" xfId="133" applyNumberFormat="1" applyFont="1" applyFill="1" applyBorder="1" applyAlignment="1">
      <alignment horizontal="center"/>
    </xf>
    <xf numFmtId="236" fontId="25" fillId="13" borderId="13" xfId="133" applyNumberFormat="1" applyFont="1" applyFill="1" applyBorder="1" applyAlignment="1">
      <alignment horizontal="center"/>
    </xf>
    <xf numFmtId="236" fontId="25" fillId="13" borderId="0" xfId="133" applyNumberFormat="1" applyFont="1" applyFill="1" applyAlignment="1">
      <alignment horizontal="center"/>
    </xf>
    <xf numFmtId="3" fontId="25" fillId="13" borderId="0" xfId="133" applyNumberFormat="1" applyFont="1" applyFill="1" applyBorder="1" applyAlignment="1">
      <alignment horizontal="center"/>
    </xf>
    <xf numFmtId="0" fontId="25" fillId="0" borderId="46" xfId="42" quotePrefix="1" applyFont="1" applyFill="1" applyBorder="1" applyAlignment="1" applyProtection="1"/>
    <xf numFmtId="0" fontId="30" fillId="0" borderId="42" xfId="0" applyFont="1" applyBorder="1"/>
    <xf numFmtId="174" fontId="223" fillId="0" borderId="63" xfId="0" applyNumberFormat="1" applyFont="1" applyFill="1" applyBorder="1" applyAlignment="1">
      <alignment horizontal="right" vertical="center"/>
    </xf>
    <xf numFmtId="173" fontId="223" fillId="0" borderId="66" xfId="0" applyNumberFormat="1" applyFont="1" applyFill="1" applyBorder="1" applyAlignment="1">
      <alignment horizontal="right" vertical="center"/>
    </xf>
    <xf numFmtId="173" fontId="223" fillId="0" borderId="63" xfId="0" applyNumberFormat="1" applyFont="1" applyFill="1" applyBorder="1" applyAlignment="1">
      <alignment horizontal="right" vertical="center"/>
    </xf>
    <xf numFmtId="173" fontId="223" fillId="0" borderId="65" xfId="0" applyNumberFormat="1" applyFont="1" applyFill="1" applyBorder="1" applyAlignment="1">
      <alignment horizontal="right" vertical="center"/>
    </xf>
    <xf numFmtId="174" fontId="21" fillId="15" borderId="70" xfId="102" applyNumberFormat="1" applyFont="1" applyFill="1" applyBorder="1" applyAlignment="1">
      <alignment horizontal="right" vertical="center"/>
    </xf>
    <xf numFmtId="173" fontId="15" fillId="0" borderId="66" xfId="0" applyNumberFormat="1" applyFont="1" applyFill="1" applyBorder="1" applyAlignment="1">
      <alignment horizontal="right" vertical="center" wrapText="1"/>
    </xf>
    <xf numFmtId="9" fontId="15" fillId="0" borderId="66" xfId="164" applyFont="1" applyFill="1" applyBorder="1" applyAlignment="1">
      <alignment horizontal="right" vertical="center" wrapText="1"/>
    </xf>
    <xf numFmtId="173" fontId="218" fillId="0" borderId="63" xfId="102" applyNumberFormat="1" applyFont="1" applyFill="1" applyBorder="1" applyAlignment="1">
      <alignment horizontal="right" vertical="center"/>
    </xf>
    <xf numFmtId="174" fontId="223" fillId="0" borderId="65" xfId="0" applyNumberFormat="1" applyFont="1" applyFill="1" applyBorder="1" applyAlignment="1">
      <alignment horizontal="right" vertical="center"/>
    </xf>
    <xf numFmtId="174" fontId="15" fillId="0" borderId="72" xfId="0" applyNumberFormat="1" applyFont="1" applyFill="1" applyBorder="1" applyAlignment="1">
      <alignment horizontal="right" vertical="center" wrapText="1"/>
    </xf>
    <xf numFmtId="174" fontId="21" fillId="0" borderId="17" xfId="102" applyNumberFormat="1" applyFont="1" applyFill="1" applyBorder="1" applyAlignment="1">
      <alignment horizontal="right" vertical="center"/>
    </xf>
    <xf numFmtId="173" fontId="22" fillId="0" borderId="66" xfId="0" applyNumberFormat="1" applyFont="1" applyFill="1" applyBorder="1" applyAlignment="1">
      <alignment horizontal="right"/>
    </xf>
    <xf numFmtId="173" fontId="15" fillId="0" borderId="65" xfId="0" applyNumberFormat="1" applyFont="1" applyFill="1" applyBorder="1" applyAlignment="1">
      <alignment horizontal="right" vertical="center" wrapText="1"/>
    </xf>
    <xf numFmtId="173" fontId="22" fillId="0" borderId="65" xfId="0" applyNumberFormat="1" applyFont="1" applyFill="1" applyBorder="1" applyAlignment="1">
      <alignment horizontal="right"/>
    </xf>
    <xf numFmtId="174" fontId="19" fillId="0" borderId="66" xfId="102" applyNumberFormat="1" applyFont="1" applyFill="1" applyBorder="1" applyAlignment="1">
      <alignment horizontal="right" vertical="center"/>
    </xf>
    <xf numFmtId="174" fontId="15" fillId="0" borderId="66" xfId="0" applyNumberFormat="1" applyFont="1" applyFill="1" applyBorder="1" applyAlignment="1">
      <alignment horizontal="right" vertical="center" wrapText="1"/>
    </xf>
    <xf numFmtId="174" fontId="217" fillId="0" borderId="63" xfId="0" applyNumberFormat="1" applyFont="1" applyFill="1" applyBorder="1" applyAlignment="1">
      <alignment horizontal="right" vertical="center"/>
    </xf>
    <xf numFmtId="174" fontId="15" fillId="0" borderId="63" xfId="0" applyNumberFormat="1" applyFont="1" applyFill="1" applyBorder="1" applyAlignment="1">
      <alignment horizontal="right" vertical="center" wrapText="1"/>
    </xf>
    <xf numFmtId="167" fontId="0" fillId="0" borderId="16" xfId="210" applyNumberFormat="1" applyFont="1" applyBorder="1"/>
    <xf numFmtId="3" fontId="0" fillId="0" borderId="42" xfId="210" applyNumberFormat="1" applyFont="1" applyBorder="1" applyAlignment="1">
      <alignment horizontal="right"/>
    </xf>
    <xf numFmtId="3" fontId="0" fillId="0" borderId="43" xfId="0" applyNumberFormat="1" applyBorder="1" applyAlignment="1">
      <alignment horizontal="right"/>
    </xf>
    <xf numFmtId="0" fontId="27" fillId="0" borderId="31" xfId="0" applyFont="1" applyBorder="1" applyAlignment="1">
      <alignment horizontal="left"/>
    </xf>
    <xf numFmtId="0" fontId="0" fillId="28" borderId="58" xfId="0" applyFill="1" applyBorder="1"/>
    <xf numFmtId="0" fontId="0" fillId="28" borderId="88" xfId="0" applyFill="1" applyBorder="1"/>
    <xf numFmtId="0" fontId="229" fillId="15" borderId="17" xfId="0" applyFont="1" applyFill="1" applyBorder="1" applyAlignment="1">
      <alignment horizontal="left" vertical="center"/>
    </xf>
    <xf numFmtId="0" fontId="41" fillId="21" borderId="77" xfId="0" applyFont="1" applyFill="1" applyBorder="1" applyAlignment="1">
      <alignment vertical="center"/>
    </xf>
    <xf numFmtId="0" fontId="25" fillId="0" borderId="17" xfId="0" applyFont="1" applyFill="1" applyBorder="1" applyAlignment="1"/>
    <xf numFmtId="0" fontId="41" fillId="15" borderId="17" xfId="0" applyFont="1" applyFill="1" applyBorder="1" applyAlignment="1">
      <alignment horizontal="left" vertical="center"/>
    </xf>
    <xf numFmtId="0" fontId="41" fillId="0" borderId="77" xfId="0" applyFont="1" applyFill="1" applyBorder="1" applyAlignment="1">
      <alignment vertical="center"/>
    </xf>
    <xf numFmtId="0" fontId="10" fillId="0" borderId="17" xfId="0" applyFont="1" applyFill="1" applyBorder="1" applyAlignment="1"/>
    <xf numFmtId="0" fontId="0" fillId="0" borderId="17" xfId="0" applyFill="1" applyBorder="1" applyAlignment="1"/>
    <xf numFmtId="0" fontId="39" fillId="0" borderId="77" xfId="0" applyFont="1" applyFill="1" applyBorder="1" applyAlignment="1">
      <alignment horizontal="left" vertical="center"/>
    </xf>
    <xf numFmtId="0" fontId="0" fillId="0" borderId="18" xfId="0" applyFill="1" applyBorder="1" applyAlignment="1"/>
    <xf numFmtId="41" fontId="11" fillId="35" borderId="16" xfId="102" applyFont="1" applyFill="1" applyBorder="1" applyAlignment="1">
      <alignment horizontal="left" vertical="center"/>
    </xf>
    <xf numFmtId="41" fontId="11" fillId="0" borderId="17" xfId="102" applyFont="1" applyBorder="1" applyAlignment="1">
      <alignment horizontal="left" vertical="center"/>
    </xf>
    <xf numFmtId="3" fontId="0" fillId="0" borderId="77" xfId="0" applyNumberFormat="1" applyFont="1" applyFill="1" applyBorder="1" applyAlignment="1">
      <alignment horizontal="left" vertical="center"/>
    </xf>
    <xf numFmtId="0" fontId="0" fillId="0" borderId="17" xfId="0" applyBorder="1" applyAlignment="1">
      <alignment horizontal="left"/>
    </xf>
    <xf numFmtId="0" fontId="0" fillId="0" borderId="18" xfId="0" applyBorder="1" applyAlignment="1">
      <alignment horizontal="left"/>
    </xf>
    <xf numFmtId="0" fontId="41" fillId="0" borderId="17" xfId="0" applyFont="1" applyFill="1" applyBorder="1" applyAlignment="1">
      <alignment vertical="center" wrapText="1"/>
    </xf>
    <xf numFmtId="0" fontId="39" fillId="0" borderId="77" xfId="0" applyFont="1" applyFill="1" applyBorder="1" applyAlignment="1">
      <alignment vertical="center" wrapText="1"/>
    </xf>
    <xf numFmtId="0" fontId="245" fillId="26" borderId="0" xfId="0" applyFont="1" applyFill="1" applyBorder="1" applyAlignment="1">
      <alignment vertical="center"/>
    </xf>
    <xf numFmtId="0" fontId="0" fillId="15" borderId="26" xfId="0" applyFont="1" applyFill="1" applyBorder="1" applyAlignment="1">
      <alignment horizontal="center" vertical="center" wrapText="1"/>
    </xf>
    <xf numFmtId="0" fontId="10" fillId="0" borderId="46" xfId="0" applyFont="1" applyBorder="1"/>
    <xf numFmtId="0" fontId="69" fillId="0" borderId="42" xfId="42" applyFont="1" applyBorder="1" applyAlignment="1" applyProtection="1"/>
    <xf numFmtId="0" fontId="10" fillId="0" borderId="42" xfId="0" applyFont="1" applyBorder="1"/>
    <xf numFmtId="0" fontId="69" fillId="0" borderId="42" xfId="42" quotePrefix="1" applyFont="1" applyBorder="1" applyAlignment="1" applyProtection="1"/>
    <xf numFmtId="0" fontId="10" fillId="0" borderId="47" xfId="0" applyFont="1" applyBorder="1"/>
    <xf numFmtId="0" fontId="69" fillId="0" borderId="43" xfId="42" quotePrefix="1" applyFont="1" applyBorder="1" applyAlignment="1" applyProtection="1"/>
    <xf numFmtId="0" fontId="25" fillId="42" borderId="0" xfId="0" applyFont="1" applyFill="1" applyAlignment="1">
      <alignment horizontal="left" wrapText="1"/>
    </xf>
    <xf numFmtId="0" fontId="25" fillId="42" borderId="0" xfId="0" applyFont="1" applyFill="1" applyAlignment="1">
      <alignment vertical="center"/>
    </xf>
    <xf numFmtId="0" fontId="32" fillId="0" borderId="42" xfId="42" quotePrefix="1" applyBorder="1" applyAlignment="1" applyProtection="1"/>
    <xf numFmtId="38" fontId="35" fillId="0" borderId="0" xfId="0" applyNumberFormat="1" applyFont="1" applyFill="1" applyBorder="1" applyAlignment="1">
      <alignment vertical="center"/>
    </xf>
    <xf numFmtId="0" fontId="0" fillId="0" borderId="0" xfId="0" applyFill="1" applyBorder="1" applyAlignment="1">
      <alignment vertical="center"/>
    </xf>
    <xf numFmtId="41" fontId="44" fillId="0" borderId="0" xfId="102" applyFont="1" applyFill="1" applyBorder="1" applyAlignment="1">
      <alignment horizontal="right" vertical="center"/>
    </xf>
    <xf numFmtId="41" fontId="11" fillId="0" borderId="0" xfId="102" applyFont="1" applyFill="1" applyBorder="1" applyAlignment="1">
      <alignment horizontal="right" vertical="center"/>
    </xf>
    <xf numFmtId="0" fontId="229" fillId="0" borderId="0" xfId="0" applyFont="1" applyFill="1" applyBorder="1" applyAlignment="1">
      <alignment vertical="center"/>
    </xf>
    <xf numFmtId="3" fontId="10" fillId="0" borderId="0" xfId="0" applyNumberFormat="1" applyFont="1" applyFill="1" applyBorder="1" applyAlignment="1">
      <alignment horizontal="center" vertical="center"/>
    </xf>
    <xf numFmtId="0" fontId="39" fillId="0" borderId="0" xfId="0" applyFont="1" applyFill="1" applyBorder="1" applyAlignment="1">
      <alignment vertical="center"/>
    </xf>
    <xf numFmtId="0" fontId="41" fillId="0" borderId="0" xfId="0" applyFont="1" applyFill="1" applyBorder="1" applyAlignment="1">
      <alignment vertical="center"/>
    </xf>
    <xf numFmtId="0" fontId="40" fillId="0" borderId="0" xfId="0" applyFont="1" applyFill="1" applyBorder="1"/>
    <xf numFmtId="0" fontId="229" fillId="0" borderId="0" xfId="0" applyFont="1" applyFill="1"/>
    <xf numFmtId="0" fontId="246" fillId="21" borderId="17" xfId="0" applyFont="1" applyFill="1" applyBorder="1"/>
    <xf numFmtId="0" fontId="32" fillId="0" borderId="22" xfId="42" applyBorder="1" applyAlignment="1" applyProtection="1">
      <alignment vertical="center"/>
    </xf>
    <xf numFmtId="0" fontId="61" fillId="48" borderId="22" xfId="0" applyFont="1" applyFill="1" applyBorder="1" applyAlignment="1">
      <alignment horizontal="center"/>
    </xf>
    <xf numFmtId="0" fontId="61" fillId="48" borderId="22" xfId="0" applyFont="1" applyFill="1" applyBorder="1" applyAlignment="1">
      <alignment horizontal="center" vertical="center"/>
    </xf>
    <xf numFmtId="0" fontId="250" fillId="0" borderId="0" xfId="0" applyFont="1"/>
    <xf numFmtId="0" fontId="55" fillId="0" borderId="22" xfId="0" applyFont="1" applyBorder="1"/>
    <xf numFmtId="0" fontId="55" fillId="0" borderId="22" xfId="0" applyFont="1" applyBorder="1" applyAlignment="1">
      <alignment horizontal="center" vertical="center"/>
    </xf>
    <xf numFmtId="0" fontId="55" fillId="0" borderId="22" xfId="0" applyFont="1" applyBorder="1" applyAlignment="1">
      <alignment vertical="center"/>
    </xf>
    <xf numFmtId="0" fontId="55" fillId="0" borderId="0" xfId="0" applyFont="1" applyAlignment="1">
      <alignment horizontal="left" vertical="center" wrapText="1"/>
    </xf>
    <xf numFmtId="0" fontId="250" fillId="48" borderId="0" xfId="0" applyFont="1" applyFill="1" applyAlignment="1">
      <alignment vertical="center"/>
    </xf>
    <xf numFmtId="0" fontId="55" fillId="48" borderId="0" xfId="0" applyFont="1" applyFill="1" applyAlignment="1">
      <alignment vertical="center"/>
    </xf>
    <xf numFmtId="237" fontId="55" fillId="46" borderId="22" xfId="0" applyNumberFormat="1" applyFont="1" applyFill="1" applyBorder="1" applyAlignment="1">
      <alignment vertical="center"/>
    </xf>
    <xf numFmtId="10" fontId="55" fillId="47" borderId="22" xfId="0" applyNumberFormat="1" applyFont="1" applyFill="1" applyBorder="1" applyAlignment="1">
      <alignment vertical="center"/>
    </xf>
    <xf numFmtId="180" fontId="55" fillId="47" borderId="22" xfId="206" applyFont="1" applyFill="1" applyBorder="1" applyAlignment="1">
      <alignment vertical="center"/>
    </xf>
    <xf numFmtId="4" fontId="55" fillId="0" borderId="0" xfId="0" applyNumberFormat="1" applyFont="1" applyAlignment="1">
      <alignment vertical="center"/>
    </xf>
    <xf numFmtId="180" fontId="55" fillId="46" borderId="22" xfId="206" applyFont="1" applyFill="1" applyBorder="1" applyAlignment="1">
      <alignment vertical="center"/>
    </xf>
    <xf numFmtId="0" fontId="251" fillId="0" borderId="22" xfId="42" applyFont="1" applyBorder="1" applyAlignment="1" applyProtection="1">
      <alignment vertical="center"/>
    </xf>
    <xf numFmtId="0" fontId="250" fillId="0" borderId="0" xfId="0" applyFont="1" applyAlignment="1">
      <alignment vertical="center"/>
    </xf>
    <xf numFmtId="0" fontId="55" fillId="25" borderId="22" xfId="0" applyFont="1" applyFill="1" applyBorder="1" applyAlignment="1">
      <alignment horizontal="right" vertical="center"/>
    </xf>
    <xf numFmtId="180" fontId="55" fillId="25" borderId="22" xfId="206" applyFont="1" applyFill="1" applyBorder="1" applyAlignment="1">
      <alignment vertical="center"/>
    </xf>
    <xf numFmtId="238" fontId="55" fillId="0" borderId="0" xfId="206" applyNumberFormat="1" applyFont="1" applyFill="1" applyBorder="1" applyAlignment="1">
      <alignment vertical="center"/>
    </xf>
    <xf numFmtId="2" fontId="55" fillId="0" borderId="22" xfId="0" applyNumberFormat="1" applyFont="1" applyBorder="1" applyAlignment="1">
      <alignment horizontal="center" vertical="center"/>
    </xf>
    <xf numFmtId="2" fontId="55" fillId="0" borderId="0" xfId="0" applyNumberFormat="1" applyFont="1" applyAlignment="1">
      <alignment vertical="center"/>
    </xf>
    <xf numFmtId="1" fontId="55" fillId="0" borderId="22" xfId="0" applyNumberFormat="1" applyFont="1" applyBorder="1" applyAlignment="1">
      <alignment horizontal="center" vertical="center"/>
    </xf>
    <xf numFmtId="180" fontId="55" fillId="0" borderId="22" xfId="206" applyFont="1" applyFill="1" applyBorder="1" applyAlignment="1">
      <alignment vertical="center"/>
    </xf>
    <xf numFmtId="2" fontId="250" fillId="48" borderId="0" xfId="0" applyNumberFormat="1" applyFont="1" applyFill="1" applyAlignment="1">
      <alignment vertical="center"/>
    </xf>
    <xf numFmtId="2" fontId="55" fillId="0" borderId="22" xfId="0" applyNumberFormat="1" applyFont="1" applyFill="1" applyBorder="1" applyAlignment="1">
      <alignment horizontal="center" vertical="center"/>
    </xf>
    <xf numFmtId="180" fontId="55" fillId="0" borderId="22" xfId="206" applyFont="1" applyFill="1" applyBorder="1" applyAlignment="1">
      <alignment horizontal="center" vertical="center"/>
    </xf>
    <xf numFmtId="1" fontId="55" fillId="0" borderId="22" xfId="0" applyNumberFormat="1" applyFont="1" applyFill="1" applyBorder="1" applyAlignment="1">
      <alignment horizontal="center" vertical="center"/>
    </xf>
    <xf numFmtId="180" fontId="55" fillId="0" borderId="61" xfId="206" applyFont="1" applyFill="1" applyBorder="1" applyAlignment="1">
      <alignment horizontal="center" vertical="center"/>
    </xf>
    <xf numFmtId="0" fontId="55" fillId="0" borderId="0" xfId="0" applyFont="1" applyFill="1" applyAlignment="1">
      <alignment vertical="center"/>
    </xf>
    <xf numFmtId="180" fontId="55" fillId="0" borderId="26" xfId="206" applyFont="1" applyFill="1" applyBorder="1" applyAlignment="1">
      <alignment vertical="center"/>
    </xf>
    <xf numFmtId="180" fontId="55" fillId="0" borderId="60" xfId="206" applyFont="1" applyFill="1" applyBorder="1" applyAlignment="1">
      <alignment vertical="center"/>
    </xf>
    <xf numFmtId="0" fontId="55" fillId="0" borderId="22" xfId="0" applyFont="1" applyFill="1" applyBorder="1" applyAlignment="1">
      <alignment vertical="center"/>
    </xf>
    <xf numFmtId="0" fontId="55" fillId="0" borderId="22" xfId="0" applyFont="1" applyFill="1" applyBorder="1" applyAlignment="1">
      <alignment horizontal="center" vertical="center"/>
    </xf>
    <xf numFmtId="4" fontId="55" fillId="0" borderId="0" xfId="0" applyNumberFormat="1" applyFont="1" applyFill="1" applyAlignment="1">
      <alignment vertical="center"/>
    </xf>
    <xf numFmtId="237" fontId="55" fillId="0" borderId="22" xfId="204" applyNumberFormat="1" applyFont="1" applyFill="1" applyBorder="1" applyAlignment="1">
      <alignment vertical="center"/>
    </xf>
    <xf numFmtId="0" fontId="55" fillId="0" borderId="61" xfId="0" applyFont="1" applyFill="1" applyBorder="1" applyAlignment="1">
      <alignment vertical="center"/>
    </xf>
    <xf numFmtId="180" fontId="55" fillId="0" borderId="61" xfId="206" applyFont="1" applyFill="1" applyBorder="1" applyAlignment="1">
      <alignment vertical="center"/>
    </xf>
    <xf numFmtId="0" fontId="251" fillId="0" borderId="58" xfId="42" applyFont="1" applyBorder="1" applyAlignment="1" applyProtection="1">
      <alignment vertical="center"/>
    </xf>
    <xf numFmtId="10" fontId="55" fillId="0" borderId="26" xfId="169" applyNumberFormat="1" applyFont="1" applyFill="1" applyBorder="1" applyAlignment="1">
      <alignment vertical="center"/>
    </xf>
    <xf numFmtId="10" fontId="55" fillId="0" borderId="26" xfId="0" applyNumberFormat="1" applyFont="1" applyFill="1" applyBorder="1" applyAlignment="1">
      <alignment vertical="center"/>
    </xf>
    <xf numFmtId="0" fontId="55" fillId="0" borderId="29" xfId="0" applyFont="1" applyBorder="1" applyAlignment="1">
      <alignment vertical="center"/>
    </xf>
    <xf numFmtId="180" fontId="55" fillId="0" borderId="29" xfId="206" applyFont="1" applyFill="1" applyBorder="1" applyAlignment="1">
      <alignment vertical="center"/>
    </xf>
    <xf numFmtId="0" fontId="141" fillId="0" borderId="0" xfId="143" applyFont="1"/>
    <xf numFmtId="0" fontId="247" fillId="0" borderId="0" xfId="214" applyFont="1"/>
    <xf numFmtId="0" fontId="249" fillId="0" borderId="0" xfId="214" applyFont="1"/>
    <xf numFmtId="0" fontId="247" fillId="48" borderId="0" xfId="214" applyFont="1" applyFill="1"/>
    <xf numFmtId="0" fontId="247" fillId="0" borderId="0" xfId="214" applyFont="1" applyFill="1"/>
    <xf numFmtId="0" fontId="256" fillId="0" borderId="0" xfId="214" applyFont="1"/>
    <xf numFmtId="0" fontId="247" fillId="46" borderId="0" xfId="214" applyFont="1" applyFill="1"/>
    <xf numFmtId="237" fontId="247" fillId="46" borderId="0" xfId="214" applyNumberFormat="1" applyFont="1" applyFill="1"/>
    <xf numFmtId="3" fontId="247" fillId="46" borderId="0" xfId="214" applyNumberFormat="1" applyFont="1" applyFill="1"/>
    <xf numFmtId="237" fontId="247" fillId="0" borderId="0" xfId="214" applyNumberFormat="1" applyFont="1"/>
    <xf numFmtId="10" fontId="247" fillId="0" borderId="0" xfId="215" applyNumberFormat="1" applyFont="1"/>
    <xf numFmtId="3" fontId="247" fillId="0" borderId="0" xfId="216" applyNumberFormat="1" applyFont="1"/>
    <xf numFmtId="0" fontId="247" fillId="49" borderId="0" xfId="214" applyFont="1" applyFill="1"/>
    <xf numFmtId="237" fontId="247" fillId="49" borderId="0" xfId="216" applyNumberFormat="1" applyFont="1" applyFill="1"/>
    <xf numFmtId="0" fontId="247" fillId="0" borderId="0" xfId="214" applyFont="1" applyAlignment="1">
      <alignment horizontal="center" vertical="center"/>
    </xf>
    <xf numFmtId="0" fontId="247" fillId="0" borderId="0" xfId="214" applyFont="1" applyFill="1" applyBorder="1" applyAlignment="1">
      <alignment horizontal="left" vertical="top" wrapText="1"/>
    </xf>
    <xf numFmtId="237" fontId="247" fillId="0" borderId="0" xfId="216" applyNumberFormat="1" applyFont="1" applyFill="1"/>
    <xf numFmtId="0" fontId="247" fillId="46" borderId="0" xfId="214" applyFont="1" applyFill="1" applyAlignment="1">
      <alignment horizontal="right"/>
    </xf>
    <xf numFmtId="0" fontId="257" fillId="0" borderId="0" xfId="214" applyFont="1" applyFill="1" applyAlignment="1">
      <alignment horizontal="left"/>
    </xf>
    <xf numFmtId="0" fontId="247" fillId="0" borderId="0" xfId="216" applyNumberFormat="1" applyFont="1" applyFill="1"/>
    <xf numFmtId="0" fontId="253" fillId="46" borderId="0" xfId="214" applyFont="1" applyFill="1"/>
    <xf numFmtId="0" fontId="253" fillId="46" borderId="0" xfId="214" applyFont="1" applyFill="1" applyAlignment="1">
      <alignment horizontal="right"/>
    </xf>
    <xf numFmtId="0" fontId="253" fillId="0" borderId="0" xfId="214" applyFont="1" applyFill="1"/>
    <xf numFmtId="0" fontId="258" fillId="0" borderId="0" xfId="214" applyFont="1" applyFill="1" applyAlignment="1">
      <alignment horizontal="left" vertical="center"/>
    </xf>
    <xf numFmtId="10" fontId="253" fillId="0" borderId="0" xfId="215" applyNumberFormat="1" applyFont="1" applyFill="1"/>
    <xf numFmtId="10" fontId="253" fillId="46" borderId="0" xfId="215" applyNumberFormat="1" applyFont="1" applyFill="1"/>
    <xf numFmtId="0" fontId="253" fillId="49" borderId="0" xfId="214" applyFont="1" applyFill="1"/>
    <xf numFmtId="10" fontId="253" fillId="49" borderId="0" xfId="215" applyNumberFormat="1" applyFont="1" applyFill="1"/>
    <xf numFmtId="0" fontId="259" fillId="0" borderId="0" xfId="214" applyFont="1" applyFill="1"/>
    <xf numFmtId="0" fontId="253" fillId="0" borderId="0" xfId="214" applyFont="1" applyFill="1" applyBorder="1" applyAlignment="1">
      <alignment horizontal="left" vertical="top" wrapText="1"/>
    </xf>
    <xf numFmtId="0" fontId="260" fillId="50" borderId="0" xfId="214" applyFont="1" applyFill="1"/>
    <xf numFmtId="237" fontId="260" fillId="50" borderId="0" xfId="215" applyNumberFormat="1" applyFont="1" applyFill="1"/>
    <xf numFmtId="237" fontId="253" fillId="0" borderId="0" xfId="215" applyNumberFormat="1" applyFont="1" applyFill="1"/>
    <xf numFmtId="0" fontId="261" fillId="0" borderId="0" xfId="214" applyFont="1" applyFill="1"/>
    <xf numFmtId="0" fontId="254" fillId="48" borderId="0" xfId="214" applyFont="1" applyFill="1"/>
    <xf numFmtId="0" fontId="254" fillId="0" borderId="0" xfId="214" applyFont="1" applyFill="1"/>
    <xf numFmtId="0" fontId="262" fillId="0" borderId="0" xfId="214" applyFont="1" applyFill="1"/>
    <xf numFmtId="0" fontId="263" fillId="0" borderId="0" xfId="214" applyFont="1"/>
    <xf numFmtId="0" fontId="264" fillId="0" borderId="0" xfId="214" applyFont="1" applyFill="1"/>
    <xf numFmtId="0" fontId="16" fillId="46" borderId="0" xfId="214" applyFont="1" applyFill="1" applyBorder="1" applyAlignment="1">
      <alignment vertical="center"/>
    </xf>
    <xf numFmtId="237" fontId="16" fillId="46" borderId="0" xfId="214" applyNumberFormat="1" applyFont="1" applyFill="1"/>
    <xf numFmtId="0" fontId="16" fillId="0" borderId="0" xfId="214" applyFont="1" applyBorder="1" applyAlignment="1">
      <alignment vertical="center"/>
    </xf>
    <xf numFmtId="10" fontId="16" fillId="0" borderId="0" xfId="215" applyNumberFormat="1" applyFont="1" applyFill="1"/>
    <xf numFmtId="0" fontId="16" fillId="0" borderId="0" xfId="214" applyFont="1" applyFill="1" applyBorder="1" applyAlignment="1">
      <alignment vertical="center"/>
    </xf>
    <xf numFmtId="237" fontId="16" fillId="0" borderId="0" xfId="214" applyNumberFormat="1" applyFont="1" applyFill="1"/>
    <xf numFmtId="0" fontId="16" fillId="49" borderId="0" xfId="214" applyFont="1" applyFill="1" applyBorder="1" applyAlignment="1">
      <alignment vertical="center"/>
    </xf>
    <xf numFmtId="237" fontId="16" fillId="49" borderId="0" xfId="214" applyNumberFormat="1" applyFont="1" applyFill="1"/>
    <xf numFmtId="0" fontId="254" fillId="0" borderId="0" xfId="214" applyFont="1"/>
    <xf numFmtId="0" fontId="257" fillId="0" borderId="0" xfId="214" applyFont="1"/>
    <xf numFmtId="10" fontId="247" fillId="0" borderId="0" xfId="215" applyNumberFormat="1" applyFont="1" applyFill="1"/>
    <xf numFmtId="1" fontId="247" fillId="0" borderId="0" xfId="214" applyNumberFormat="1" applyFont="1" applyFill="1"/>
    <xf numFmtId="0" fontId="247" fillId="0" borderId="0" xfId="214" applyFont="1" applyAlignment="1">
      <alignment horizontal="center"/>
    </xf>
    <xf numFmtId="0" fontId="254" fillId="0" borderId="0" xfId="214" applyFont="1" applyFill="1" applyBorder="1" applyAlignment="1">
      <alignment vertical="top" wrapText="1"/>
    </xf>
    <xf numFmtId="9" fontId="247" fillId="46" borderId="0" xfId="215" applyFont="1" applyFill="1"/>
    <xf numFmtId="237" fontId="254" fillId="0" borderId="0" xfId="214" applyNumberFormat="1" applyFont="1"/>
    <xf numFmtId="0" fontId="255" fillId="0" borderId="0" xfId="214" applyFont="1" applyFill="1"/>
    <xf numFmtId="237" fontId="247" fillId="0" borderId="0" xfId="214" applyNumberFormat="1" applyFont="1" applyFill="1"/>
    <xf numFmtId="0" fontId="247" fillId="0" borderId="0" xfId="214" applyFont="1" applyFill="1" applyAlignment="1">
      <alignment vertical="top" wrapText="1"/>
    </xf>
    <xf numFmtId="0" fontId="247" fillId="0" borderId="0" xfId="214" applyFont="1" applyFill="1" applyAlignment="1">
      <alignment horizontal="center"/>
    </xf>
    <xf numFmtId="237" fontId="253" fillId="49" borderId="0" xfId="216" applyNumberFormat="1" applyFont="1" applyFill="1"/>
    <xf numFmtId="237" fontId="247" fillId="46" borderId="0" xfId="216" applyNumberFormat="1" applyFont="1" applyFill="1"/>
    <xf numFmtId="0" fontId="247" fillId="0" borderId="0" xfId="214" applyFont="1" applyAlignment="1">
      <alignment vertical="top" wrapText="1"/>
    </xf>
    <xf numFmtId="10" fontId="0" fillId="21" borderId="17" xfId="165" applyNumberFormat="1" applyFont="1" applyFill="1" applyBorder="1"/>
    <xf numFmtId="10" fontId="135" fillId="21" borderId="0" xfId="0" applyNumberFormat="1" applyFont="1" applyFill="1" applyBorder="1" applyAlignment="1">
      <alignment horizontal="right"/>
    </xf>
    <xf numFmtId="9" fontId="135" fillId="21" borderId="0" xfId="0" applyNumberFormat="1" applyFont="1" applyFill="1" applyBorder="1" applyAlignment="1">
      <alignment horizontal="right"/>
    </xf>
    <xf numFmtId="174" fontId="267" fillId="0" borderId="65" xfId="0" applyNumberFormat="1" applyFont="1" applyFill="1" applyBorder="1" applyAlignment="1">
      <alignment horizontal="right" vertical="center"/>
    </xf>
    <xf numFmtId="237" fontId="253" fillId="46" borderId="0" xfId="216" applyNumberFormat="1" applyFont="1" applyFill="1"/>
    <xf numFmtId="0" fontId="253" fillId="46" borderId="0" xfId="214" applyFont="1" applyFill="1" applyAlignment="1">
      <alignment vertical="center"/>
    </xf>
    <xf numFmtId="237" fontId="253" fillId="46" borderId="0" xfId="216" applyNumberFormat="1" applyFont="1" applyFill="1" applyAlignment="1">
      <alignment vertical="center"/>
    </xf>
    <xf numFmtId="237" fontId="16" fillId="46" borderId="0" xfId="214" applyNumberFormat="1" applyFont="1" applyFill="1" applyAlignment="1">
      <alignment vertical="center"/>
    </xf>
    <xf numFmtId="10" fontId="16" fillId="0" borderId="0" xfId="215" applyNumberFormat="1" applyFont="1" applyFill="1" applyAlignment="1">
      <alignment vertical="center"/>
    </xf>
    <xf numFmtId="237" fontId="16" fillId="0" borderId="0" xfId="214" applyNumberFormat="1" applyFont="1" applyFill="1" applyAlignment="1">
      <alignment vertical="center"/>
    </xf>
    <xf numFmtId="237" fontId="16" fillId="49" borderId="0" xfId="214" applyNumberFormat="1" applyFont="1" applyFill="1" applyAlignment="1">
      <alignment vertical="center"/>
    </xf>
    <xf numFmtId="0" fontId="247" fillId="0" borderId="0" xfId="214" applyFont="1" applyFill="1" applyAlignment="1">
      <alignment vertical="center"/>
    </xf>
    <xf numFmtId="0" fontId="247" fillId="46" borderId="0" xfId="214" applyFont="1" applyFill="1" applyAlignment="1">
      <alignment vertical="center"/>
    </xf>
    <xf numFmtId="237" fontId="247" fillId="46" borderId="0" xfId="214" applyNumberFormat="1" applyFont="1" applyFill="1" applyAlignment="1">
      <alignment vertical="center"/>
    </xf>
    <xf numFmtId="2" fontId="253" fillId="0" borderId="0" xfId="215" applyNumberFormat="1" applyFont="1" applyFill="1"/>
    <xf numFmtId="0" fontId="272" fillId="0" borderId="0" xfId="0" applyFont="1" applyFill="1" applyBorder="1" applyAlignment="1">
      <alignment vertical="center"/>
    </xf>
    <xf numFmtId="0" fontId="273" fillId="0" borderId="0" xfId="194" applyFont="1" applyFill="1" applyBorder="1" applyAlignment="1">
      <alignment vertical="center"/>
    </xf>
    <xf numFmtId="0" fontId="270" fillId="48" borderId="0" xfId="214" applyFont="1" applyFill="1"/>
    <xf numFmtId="0" fontId="274" fillId="48" borderId="0" xfId="214" applyFont="1" applyFill="1"/>
    <xf numFmtId="174" fontId="9" fillId="46" borderId="17" xfId="69" applyNumberFormat="1" applyFont="1" applyFill="1" applyBorder="1" applyAlignment="1">
      <alignment vertical="center" wrapText="1"/>
    </xf>
    <xf numFmtId="1" fontId="73" fillId="17" borderId="22" xfId="0" applyNumberFormat="1" applyFont="1" applyFill="1" applyBorder="1" applyAlignment="1">
      <alignment horizontal="center"/>
    </xf>
    <xf numFmtId="174" fontId="223" fillId="46" borderId="63" xfId="0" applyNumberFormat="1" applyFont="1" applyFill="1" applyBorder="1" applyAlignment="1">
      <alignment horizontal="right" vertical="center"/>
    </xf>
    <xf numFmtId="199" fontId="25" fillId="0" borderId="0" xfId="0" applyNumberFormat="1" applyFont="1"/>
    <xf numFmtId="0" fontId="1" fillId="0" borderId="0" xfId="219"/>
    <xf numFmtId="0" fontId="270" fillId="53" borderId="124" xfId="219" applyFont="1" applyFill="1" applyBorder="1" applyAlignment="1">
      <alignment horizontal="center" vertical="center" wrapText="1"/>
    </xf>
    <xf numFmtId="0" fontId="1" fillId="0" borderId="124" xfId="219" applyBorder="1" applyAlignment="1">
      <alignment horizontal="right" vertical="center" wrapText="1"/>
    </xf>
    <xf numFmtId="0" fontId="1" fillId="54" borderId="124" xfId="219" applyFill="1" applyBorder="1" applyAlignment="1">
      <alignment horizontal="right" vertical="center" wrapText="1"/>
    </xf>
    <xf numFmtId="17" fontId="1" fillId="0" borderId="124" xfId="219" applyNumberFormat="1" applyBorder="1" applyAlignment="1">
      <alignment horizontal="right" vertical="center" wrapText="1"/>
    </xf>
    <xf numFmtId="17" fontId="1" fillId="54" borderId="124" xfId="219" applyNumberFormat="1" applyFill="1" applyBorder="1" applyAlignment="1">
      <alignment horizontal="right" vertical="center" wrapText="1"/>
    </xf>
    <xf numFmtId="0" fontId="22" fillId="0" borderId="0" xfId="219" applyFont="1"/>
    <xf numFmtId="0" fontId="224" fillId="0" borderId="0" xfId="220" applyFont="1" applyAlignment="1" applyProtection="1"/>
    <xf numFmtId="0" fontId="277" fillId="0" borderId="0" xfId="220" applyFont="1" applyBorder="1" applyAlignment="1">
      <alignment vertical="center" wrapText="1"/>
    </xf>
    <xf numFmtId="0" fontId="1" fillId="0" borderId="0" xfId="219" applyBorder="1" applyAlignment="1">
      <alignment vertical="center" wrapText="1"/>
    </xf>
    <xf numFmtId="0" fontId="1" fillId="0" borderId="0" xfId="219" applyBorder="1" applyAlignment="1">
      <alignment horizontal="center" vertical="center" wrapText="1"/>
    </xf>
    <xf numFmtId="0" fontId="276" fillId="0" borderId="120" xfId="220" applyBorder="1" applyAlignment="1">
      <alignment vertical="center" wrapText="1"/>
    </xf>
    <xf numFmtId="0" fontId="1" fillId="0" borderId="120" xfId="219" applyBorder="1" applyAlignment="1">
      <alignment vertical="center" wrapText="1"/>
    </xf>
    <xf numFmtId="0" fontId="1" fillId="0" borderId="120" xfId="219" applyBorder="1" applyAlignment="1">
      <alignment horizontal="center" vertical="center" wrapText="1"/>
    </xf>
    <xf numFmtId="0" fontId="276" fillId="0" borderId="0" xfId="220" applyBorder="1" applyAlignment="1">
      <alignment vertical="center" wrapText="1"/>
    </xf>
    <xf numFmtId="0" fontId="1" fillId="0" borderId="0" xfId="219" applyAlignment="1">
      <alignment vertical="center" wrapText="1"/>
    </xf>
    <xf numFmtId="0" fontId="1" fillId="0" borderId="0" xfId="219" applyAlignment="1">
      <alignment horizontal="center" vertical="center" wrapText="1"/>
    </xf>
    <xf numFmtId="0" fontId="163" fillId="0" borderId="0" xfId="219" applyFont="1"/>
    <xf numFmtId="0" fontId="250" fillId="0" borderId="0" xfId="219" applyFont="1"/>
    <xf numFmtId="0" fontId="276" fillId="0" borderId="0" xfId="220"/>
    <xf numFmtId="0" fontId="250" fillId="15" borderId="48" xfId="219" applyFont="1" applyFill="1" applyBorder="1"/>
    <xf numFmtId="0" fontId="250" fillId="15" borderId="3" xfId="219" applyFont="1" applyFill="1" applyBorder="1"/>
    <xf numFmtId="0" fontId="250" fillId="15" borderId="60" xfId="219" applyFont="1" applyFill="1" applyBorder="1"/>
    <xf numFmtId="0" fontId="250" fillId="15" borderId="22" xfId="219" applyFont="1" applyFill="1" applyBorder="1"/>
    <xf numFmtId="0" fontId="276" fillId="0" borderId="119" xfId="220" applyBorder="1" applyAlignment="1">
      <alignment vertical="center" wrapText="1"/>
    </xf>
    <xf numFmtId="0" fontId="1" fillId="0" borderId="121" xfId="219" applyBorder="1" applyAlignment="1">
      <alignment horizontal="center" vertical="center" wrapText="1"/>
    </xf>
    <xf numFmtId="0" fontId="276" fillId="0" borderId="122" xfId="220" applyBorder="1" applyAlignment="1">
      <alignment vertical="center" wrapText="1"/>
    </xf>
    <xf numFmtId="0" fontId="1" fillId="0" borderId="123" xfId="219" applyBorder="1" applyAlignment="1">
      <alignment horizontal="center" vertical="center" wrapText="1"/>
    </xf>
    <xf numFmtId="0" fontId="276" fillId="0" borderId="116" xfId="220" applyBorder="1" applyAlignment="1">
      <alignment vertical="center" wrapText="1"/>
    </xf>
    <xf numFmtId="0" fontId="1" fillId="0" borderId="117" xfId="219" applyBorder="1" applyAlignment="1">
      <alignment horizontal="center" vertical="center" wrapText="1"/>
    </xf>
    <xf numFmtId="0" fontId="1" fillId="0" borderId="118" xfId="219" applyBorder="1" applyAlignment="1">
      <alignment horizontal="center" vertical="center" wrapText="1"/>
    </xf>
    <xf numFmtId="0" fontId="1" fillId="0" borderId="121" xfId="219" applyBorder="1" applyAlignment="1">
      <alignment vertical="center" wrapText="1"/>
    </xf>
    <xf numFmtId="14" fontId="1" fillId="0" borderId="123" xfId="219" applyNumberFormat="1" applyBorder="1" applyAlignment="1">
      <alignment vertical="center" wrapText="1"/>
    </xf>
    <xf numFmtId="0" fontId="1" fillId="0" borderId="123" xfId="219" applyBorder="1" applyAlignment="1">
      <alignment vertical="center" wrapText="1"/>
    </xf>
    <xf numFmtId="0" fontId="1" fillId="0" borderId="117" xfId="219" applyBorder="1" applyAlignment="1">
      <alignment vertical="center" wrapText="1"/>
    </xf>
    <xf numFmtId="0" fontId="1" fillId="0" borderId="118" xfId="219" applyBorder="1" applyAlignment="1">
      <alignment vertical="center" wrapText="1"/>
    </xf>
    <xf numFmtId="0" fontId="250" fillId="0" borderId="0" xfId="219" applyFont="1" applyBorder="1"/>
    <xf numFmtId="0" fontId="276" fillId="0" borderId="0" xfId="220" applyBorder="1"/>
    <xf numFmtId="10" fontId="163" fillId="0" borderId="0" xfId="219" applyNumberFormat="1" applyFont="1" applyBorder="1"/>
    <xf numFmtId="0" fontId="25" fillId="13" borderId="0" xfId="219" applyFont="1" applyFill="1"/>
    <xf numFmtId="0" fontId="270" fillId="55" borderId="0" xfId="219" applyFont="1" applyFill="1"/>
    <xf numFmtId="17" fontId="1" fillId="0" borderId="124" xfId="219" applyNumberFormat="1" applyBorder="1" applyAlignment="1">
      <alignment horizontal="center" vertical="center" wrapText="1"/>
    </xf>
    <xf numFmtId="171" fontId="1" fillId="0" borderId="124" xfId="219" applyNumberFormat="1" applyBorder="1"/>
    <xf numFmtId="0" fontId="1" fillId="56" borderId="0" xfId="219" applyFill="1"/>
    <xf numFmtId="0" fontId="25" fillId="55" borderId="0" xfId="219" applyFont="1" applyFill="1"/>
    <xf numFmtId="0" fontId="1" fillId="55" borderId="0" xfId="219" applyFill="1"/>
    <xf numFmtId="0" fontId="17" fillId="17" borderId="9" xfId="194" applyFont="1" applyFill="1" applyBorder="1" applyAlignment="1">
      <alignment horizontal="center" vertical="center"/>
    </xf>
    <xf numFmtId="0" fontId="17" fillId="17" borderId="0" xfId="194" applyFont="1" applyFill="1" applyBorder="1" applyAlignment="1">
      <alignment horizontal="center" vertical="center"/>
    </xf>
    <xf numFmtId="0" fontId="28" fillId="43" borderId="101" xfId="0" applyFont="1" applyFill="1" applyBorder="1" applyAlignment="1">
      <alignment horizontal="center"/>
    </xf>
    <xf numFmtId="0" fontId="28" fillId="43" borderId="102" xfId="0" applyFont="1" applyFill="1" applyBorder="1" applyAlignment="1">
      <alignment horizontal="center"/>
    </xf>
    <xf numFmtId="0" fontId="28" fillId="43" borderId="103" xfId="0" applyFont="1" applyFill="1" applyBorder="1" applyAlignment="1">
      <alignment horizontal="center"/>
    </xf>
    <xf numFmtId="169" fontId="28" fillId="22" borderId="101" xfId="210" applyNumberFormat="1" applyFont="1" applyFill="1" applyBorder="1" applyAlignment="1">
      <alignment horizontal="center" vertical="center" wrapText="1"/>
    </xf>
    <xf numFmtId="169" fontId="28" fillId="22" borderId="103" xfId="210" applyNumberFormat="1" applyFont="1" applyFill="1" applyBorder="1" applyAlignment="1">
      <alignment horizontal="center" vertical="center" wrapText="1"/>
    </xf>
    <xf numFmtId="0" fontId="39" fillId="0" borderId="104" xfId="0" applyFont="1" applyFill="1" applyBorder="1" applyAlignment="1">
      <alignment horizontal="left" vertical="center" wrapText="1"/>
    </xf>
    <xf numFmtId="0" fontId="39" fillId="0" borderId="77" xfId="0" applyFont="1" applyFill="1" applyBorder="1" applyAlignment="1">
      <alignment horizontal="left" vertical="center" wrapText="1"/>
    </xf>
    <xf numFmtId="0" fontId="25" fillId="35" borderId="52" xfId="133" applyFont="1" applyFill="1" applyBorder="1" applyAlignment="1">
      <alignment horizontal="center" vertical="distributed"/>
    </xf>
    <xf numFmtId="0" fontId="25" fillId="35" borderId="53" xfId="133" applyFont="1" applyFill="1" applyBorder="1" applyAlignment="1">
      <alignment horizontal="center" vertical="distributed"/>
    </xf>
    <xf numFmtId="0" fontId="25" fillId="35" borderId="54" xfId="133" applyFont="1" applyFill="1" applyBorder="1" applyAlignment="1">
      <alignment horizontal="center" vertical="distributed"/>
    </xf>
    <xf numFmtId="0" fontId="25" fillId="35" borderId="56" xfId="133" applyFont="1" applyFill="1" applyBorder="1" applyAlignment="1">
      <alignment horizontal="center" vertical="distributed"/>
    </xf>
    <xf numFmtId="0" fontId="25" fillId="35" borderId="13" xfId="133" applyFont="1" applyFill="1" applyBorder="1" applyAlignment="1">
      <alignment horizontal="center" vertical="distributed"/>
    </xf>
    <xf numFmtId="0" fontId="25" fillId="35" borderId="57" xfId="133" applyFont="1" applyFill="1" applyBorder="1" applyAlignment="1">
      <alignment horizontal="center" vertical="distributed"/>
    </xf>
    <xf numFmtId="0" fontId="25" fillId="35" borderId="0" xfId="133" applyFont="1" applyFill="1" applyAlignment="1">
      <alignment horizontal="center" vertical="center"/>
    </xf>
    <xf numFmtId="0" fontId="25" fillId="0" borderId="0" xfId="133" applyFont="1" applyBorder="1" applyAlignment="1">
      <alignment horizontal="center" vertical="distributed"/>
    </xf>
    <xf numFmtId="0" fontId="25" fillId="0" borderId="0" xfId="133" applyFont="1" applyBorder="1" applyAlignment="1">
      <alignment horizontal="center" vertical="center"/>
    </xf>
    <xf numFmtId="0" fontId="25" fillId="13" borderId="0" xfId="133" applyFont="1" applyFill="1" applyAlignment="1">
      <alignment horizontal="center" vertical="distributed"/>
    </xf>
    <xf numFmtId="0" fontId="25" fillId="13" borderId="0" xfId="133" applyFont="1" applyFill="1" applyAlignment="1">
      <alignment horizontal="center" vertical="center"/>
    </xf>
    <xf numFmtId="168" fontId="25" fillId="13" borderId="0" xfId="164" applyNumberFormat="1" applyFont="1" applyFill="1" applyAlignment="1">
      <alignment horizontal="center" vertical="center"/>
    </xf>
    <xf numFmtId="168" fontId="25" fillId="0" borderId="0" xfId="164" applyNumberFormat="1" applyFont="1" applyAlignment="1">
      <alignment horizontal="center" vertical="center"/>
    </xf>
    <xf numFmtId="0" fontId="25" fillId="0" borderId="0" xfId="133" applyFont="1" applyAlignment="1">
      <alignment horizontal="center" vertical="distributed"/>
    </xf>
    <xf numFmtId="0" fontId="25" fillId="0" borderId="0" xfId="133" applyFont="1" applyAlignment="1">
      <alignment horizontal="center" vertical="center"/>
    </xf>
    <xf numFmtId="0" fontId="25" fillId="35" borderId="61" xfId="133" applyFont="1" applyFill="1" applyBorder="1" applyAlignment="1">
      <alignment horizontal="center" vertical="distributed"/>
    </xf>
    <xf numFmtId="0" fontId="25" fillId="35" borderId="29" xfId="133" applyFont="1" applyFill="1" applyBorder="1" applyAlignment="1">
      <alignment horizontal="center" vertical="distributed"/>
    </xf>
    <xf numFmtId="39" fontId="25" fillId="13" borderId="0" xfId="210" applyNumberFormat="1" applyFont="1" applyFill="1" applyAlignment="1">
      <alignment horizontal="left" vertical="center"/>
    </xf>
    <xf numFmtId="39" fontId="25" fillId="0" borderId="0" xfId="210" applyNumberFormat="1" applyFont="1" applyAlignment="1">
      <alignment horizontal="left" vertical="center"/>
    </xf>
    <xf numFmtId="0" fontId="25" fillId="13" borderId="0" xfId="133" applyFont="1" applyFill="1" applyBorder="1" applyAlignment="1">
      <alignment horizontal="center" vertical="center"/>
    </xf>
    <xf numFmtId="0" fontId="25" fillId="13" borderId="61" xfId="133" applyFont="1" applyFill="1" applyBorder="1" applyAlignment="1">
      <alignment horizontal="center" vertical="distributed"/>
    </xf>
    <xf numFmtId="0" fontId="25" fillId="13" borderId="29" xfId="133" applyFont="1" applyFill="1" applyBorder="1" applyAlignment="1">
      <alignment horizontal="center" vertical="distributed"/>
    </xf>
    <xf numFmtId="0" fontId="25" fillId="13" borderId="52" xfId="133" applyFont="1" applyFill="1" applyBorder="1" applyAlignment="1">
      <alignment horizontal="center" vertical="distributed"/>
    </xf>
    <xf numFmtId="0" fontId="25" fillId="13" borderId="54" xfId="133" applyFont="1" applyFill="1" applyBorder="1" applyAlignment="1">
      <alignment horizontal="center" vertical="distributed"/>
    </xf>
    <xf numFmtId="0" fontId="25" fillId="13" borderId="56" xfId="133" applyFont="1" applyFill="1" applyBorder="1" applyAlignment="1">
      <alignment horizontal="center" vertical="distributed"/>
    </xf>
    <xf numFmtId="0" fontId="25" fillId="13" borderId="57" xfId="133" applyFont="1" applyFill="1" applyBorder="1" applyAlignment="1">
      <alignment horizontal="center" vertical="distributed"/>
    </xf>
    <xf numFmtId="168" fontId="25" fillId="13" borderId="0" xfId="164" applyNumberFormat="1" applyFont="1" applyFill="1" applyAlignment="1">
      <alignment horizontal="left" vertical="center"/>
    </xf>
    <xf numFmtId="0" fontId="25" fillId="35" borderId="13" xfId="133" applyFont="1" applyFill="1" applyBorder="1" applyAlignment="1">
      <alignment horizontal="center"/>
    </xf>
    <xf numFmtId="172" fontId="25" fillId="13" borderId="0" xfId="210" applyNumberFormat="1" applyFont="1" applyFill="1" applyAlignment="1">
      <alignment horizontal="left" vertical="center"/>
    </xf>
    <xf numFmtId="186" fontId="25" fillId="13" borderId="0" xfId="210" applyNumberFormat="1" applyFont="1" applyFill="1" applyAlignment="1">
      <alignment horizontal="left" vertical="center"/>
    </xf>
    <xf numFmtId="0" fontId="25" fillId="13" borderId="53" xfId="133" applyFont="1" applyFill="1" applyBorder="1" applyAlignment="1">
      <alignment horizontal="center" vertical="center"/>
    </xf>
    <xf numFmtId="39" fontId="25" fillId="13" borderId="0" xfId="210" applyNumberFormat="1" applyFont="1" applyFill="1" applyBorder="1" applyAlignment="1">
      <alignment horizontal="left" vertical="center"/>
    </xf>
    <xf numFmtId="168" fontId="25" fillId="13" borderId="0" xfId="164" applyNumberFormat="1" applyFont="1" applyFill="1" applyBorder="1" applyAlignment="1">
      <alignment horizontal="left" vertical="center"/>
    </xf>
    <xf numFmtId="0" fontId="228" fillId="15" borderId="0" xfId="0" applyFont="1" applyFill="1" applyBorder="1" applyAlignment="1">
      <alignment horizontal="left" vertical="center" wrapText="1"/>
    </xf>
    <xf numFmtId="0" fontId="100" fillId="15" borderId="48" xfId="0" applyFont="1" applyFill="1" applyBorder="1" applyAlignment="1">
      <alignment horizontal="center"/>
    </xf>
    <xf numFmtId="0" fontId="100" fillId="15" borderId="3" xfId="0" applyFont="1" applyFill="1" applyBorder="1" applyAlignment="1">
      <alignment horizontal="center"/>
    </xf>
    <xf numFmtId="0" fontId="100" fillId="15" borderId="60" xfId="0" applyFont="1" applyFill="1" applyBorder="1" applyAlignment="1">
      <alignment horizontal="center"/>
    </xf>
    <xf numFmtId="0" fontId="100" fillId="15" borderId="61" xfId="0" applyFont="1" applyFill="1" applyBorder="1" applyAlignment="1">
      <alignment horizontal="center" vertical="center" wrapText="1"/>
    </xf>
    <xf numFmtId="0" fontId="100" fillId="15" borderId="29" xfId="0" applyFont="1" applyFill="1" applyBorder="1" applyAlignment="1">
      <alignment horizontal="center" vertical="center" wrapText="1"/>
    </xf>
    <xf numFmtId="0" fontId="100" fillId="15" borderId="22" xfId="0" applyFont="1" applyFill="1" applyBorder="1" applyAlignment="1">
      <alignment horizontal="center" vertical="center"/>
    </xf>
    <xf numFmtId="0" fontId="100" fillId="15" borderId="22" xfId="0" applyFont="1" applyFill="1" applyBorder="1" applyAlignment="1">
      <alignment horizontal="center"/>
    </xf>
    <xf numFmtId="0" fontId="100" fillId="15" borderId="22" xfId="0" applyFont="1" applyFill="1" applyBorder="1" applyAlignment="1">
      <alignment horizontal="center" vertical="center" wrapText="1"/>
    </xf>
    <xf numFmtId="0" fontId="152" fillId="0" borderId="0" xfId="146" applyFont="1" applyFill="1" applyBorder="1" applyAlignment="1">
      <alignment wrapText="1"/>
    </xf>
    <xf numFmtId="0" fontId="10" fillId="0" borderId="0" xfId="146" applyFill="1" applyBorder="1" applyAlignment="1">
      <alignment wrapText="1"/>
    </xf>
    <xf numFmtId="184" fontId="146" fillId="21" borderId="22" xfId="146" applyNumberFormat="1" applyFont="1" applyFill="1" applyBorder="1" applyAlignment="1" applyProtection="1">
      <alignment horizontal="center" vertical="center"/>
      <protection locked="0"/>
    </xf>
    <xf numFmtId="0" fontId="152" fillId="0" borderId="0" xfId="146" applyFont="1" applyFill="1" applyBorder="1" applyAlignment="1">
      <alignment vertical="center"/>
    </xf>
    <xf numFmtId="0" fontId="10" fillId="0" borderId="0" xfId="146" applyFont="1" applyFill="1" applyBorder="1" applyAlignment="1">
      <alignment vertical="center"/>
    </xf>
    <xf numFmtId="0" fontId="275" fillId="0" borderId="116" xfId="219" applyFont="1" applyBorder="1" applyAlignment="1">
      <alignment vertical="top" wrapText="1"/>
    </xf>
    <xf numFmtId="0" fontId="275" fillId="0" borderId="117" xfId="219" applyFont="1" applyBorder="1" applyAlignment="1">
      <alignment vertical="top" wrapText="1"/>
    </xf>
    <xf numFmtId="0" fontId="275" fillId="0" borderId="118" xfId="219" applyFont="1" applyBorder="1" applyAlignment="1">
      <alignment vertical="top" wrapText="1"/>
    </xf>
    <xf numFmtId="0" fontId="15" fillId="17" borderId="9" xfId="194" applyFont="1" applyFill="1" applyBorder="1" applyAlignment="1">
      <alignment horizontal="left" vertical="center"/>
    </xf>
    <xf numFmtId="0" fontId="15" fillId="17" borderId="0" xfId="194" applyFont="1" applyFill="1" applyBorder="1" applyAlignment="1">
      <alignment horizontal="left" vertical="center"/>
    </xf>
    <xf numFmtId="0" fontId="240" fillId="49" borderId="9" xfId="194" applyFont="1" applyFill="1" applyBorder="1" applyAlignment="1">
      <alignment horizontal="left" vertical="center"/>
    </xf>
    <xf numFmtId="0" fontId="240" fillId="49" borderId="0" xfId="194" applyFont="1" applyFill="1" applyBorder="1" applyAlignment="1">
      <alignment horizontal="left" vertical="center"/>
    </xf>
    <xf numFmtId="0" fontId="17" fillId="49" borderId="9" xfId="194" applyFont="1" applyFill="1" applyBorder="1" applyAlignment="1">
      <alignment horizontal="left" vertical="center"/>
    </xf>
    <xf numFmtId="0" fontId="17" fillId="49" borderId="0" xfId="194" applyFont="1" applyFill="1" applyBorder="1" applyAlignment="1">
      <alignment horizontal="left" vertical="center"/>
    </xf>
    <xf numFmtId="0" fontId="278" fillId="0" borderId="0" xfId="219" applyFont="1" applyAlignment="1">
      <alignment horizontal="center"/>
    </xf>
    <xf numFmtId="0" fontId="278" fillId="0" borderId="0" xfId="219" applyFont="1" applyAlignment="1"/>
    <xf numFmtId="0" fontId="51" fillId="0" borderId="0" xfId="0" applyFont="1" applyAlignment="1">
      <alignment horizontal="center"/>
    </xf>
    <xf numFmtId="0" fontId="10" fillId="0" borderId="0" xfId="0" applyFont="1" applyAlignment="1">
      <alignment horizontal="center"/>
    </xf>
    <xf numFmtId="0" fontId="25" fillId="15" borderId="0" xfId="0" applyFont="1" applyFill="1" applyAlignment="1">
      <alignment horizontal="center" vertical="center"/>
    </xf>
    <xf numFmtId="49" fontId="10" fillId="0" borderId="0" xfId="0" applyNumberFormat="1" applyFont="1" applyAlignment="1">
      <alignment horizontal="center"/>
    </xf>
    <xf numFmtId="0" fontId="77" fillId="0" borderId="0" xfId="0" applyFont="1" applyAlignment="1">
      <alignment horizontal="center"/>
    </xf>
    <xf numFmtId="0" fontId="0" fillId="15" borderId="0" xfId="0" applyFont="1" applyFill="1" applyBorder="1" applyAlignment="1">
      <alignment horizontal="center" vertical="center" wrapText="1"/>
    </xf>
    <xf numFmtId="0" fontId="25" fillId="37" borderId="107" xfId="0" applyFont="1" applyFill="1" applyBorder="1" applyAlignment="1">
      <alignment horizontal="center" wrapText="1"/>
    </xf>
    <xf numFmtId="0" fontId="25" fillId="37" borderId="60" xfId="0" applyFont="1" applyFill="1" applyBorder="1" applyAlignment="1">
      <alignment horizontal="center" wrapText="1"/>
    </xf>
    <xf numFmtId="0" fontId="25" fillId="37" borderId="10" xfId="0" applyFont="1" applyFill="1" applyBorder="1" applyAlignment="1">
      <alignment horizontal="center" wrapText="1"/>
    </xf>
    <xf numFmtId="0" fontId="25" fillId="37" borderId="106" xfId="0" applyFont="1" applyFill="1" applyBorder="1" applyAlignment="1">
      <alignment horizontal="center" wrapText="1"/>
    </xf>
    <xf numFmtId="0" fontId="10" fillId="15" borderId="12" xfId="0" applyNumberFormat="1" applyFont="1" applyFill="1" applyBorder="1" applyAlignment="1">
      <alignment horizontal="center" vertical="center" wrapText="1"/>
    </xf>
    <xf numFmtId="0" fontId="10" fillId="15" borderId="40" xfId="0" applyNumberFormat="1" applyFont="1" applyFill="1" applyBorder="1" applyAlignment="1">
      <alignment horizontal="center" vertical="center" wrapText="1"/>
    </xf>
    <xf numFmtId="0" fontId="10" fillId="15" borderId="39" xfId="0" applyNumberFormat="1" applyFont="1" applyFill="1" applyBorder="1" applyAlignment="1">
      <alignment horizontal="center" vertical="center" wrapText="1"/>
    </xf>
    <xf numFmtId="2" fontId="10" fillId="0" borderId="12" xfId="0" applyNumberFormat="1" applyFont="1" applyFill="1" applyBorder="1" applyAlignment="1">
      <alignment horizontal="center" vertical="center" wrapText="1"/>
    </xf>
    <xf numFmtId="2" fontId="10" fillId="0" borderId="40" xfId="0" applyNumberFormat="1" applyFont="1" applyFill="1" applyBorder="1" applyAlignment="1">
      <alignment horizontal="center" vertical="center" wrapText="1"/>
    </xf>
    <xf numFmtId="2" fontId="10" fillId="0" borderId="39" xfId="0" applyNumberFormat="1" applyFont="1" applyFill="1" applyBorder="1" applyAlignment="1">
      <alignment horizontal="center" vertical="center" wrapText="1"/>
    </xf>
    <xf numFmtId="2" fontId="25" fillId="0" borderId="12" xfId="0" applyNumberFormat="1" applyFont="1" applyFill="1" applyBorder="1" applyAlignment="1">
      <alignment horizontal="center" vertical="center" wrapText="1"/>
    </xf>
    <xf numFmtId="2" fontId="25" fillId="0" borderId="40" xfId="0" applyNumberFormat="1" applyFont="1" applyFill="1" applyBorder="1" applyAlignment="1">
      <alignment horizontal="center" vertical="center" wrapText="1"/>
    </xf>
    <xf numFmtId="2" fontId="25" fillId="0" borderId="39" xfId="0" applyNumberFormat="1" applyFont="1" applyFill="1" applyBorder="1" applyAlignment="1">
      <alignment horizontal="center" vertical="center" wrapText="1"/>
    </xf>
    <xf numFmtId="0" fontId="25" fillId="37" borderId="105" xfId="0" applyFont="1" applyFill="1" applyBorder="1" applyAlignment="1">
      <alignment horizontal="center" wrapText="1"/>
    </xf>
    <xf numFmtId="0" fontId="229" fillId="15" borderId="0" xfId="0" applyFont="1" applyFill="1" applyBorder="1" applyAlignment="1">
      <alignment horizontal="center" vertical="center" wrapText="1"/>
    </xf>
    <xf numFmtId="0" fontId="25" fillId="0" borderId="108" xfId="0" applyFont="1" applyBorder="1" applyAlignment="1">
      <alignment horizontal="center"/>
    </xf>
    <xf numFmtId="0" fontId="25" fillId="0" borderId="109" xfId="0" applyFont="1" applyBorder="1" applyAlignment="1">
      <alignment horizontal="center"/>
    </xf>
    <xf numFmtId="0" fontId="25" fillId="0" borderId="110" xfId="0" applyFont="1" applyBorder="1" applyAlignment="1">
      <alignment horizontal="center"/>
    </xf>
    <xf numFmtId="0" fontId="25" fillId="0" borderId="111" xfId="0" applyFont="1" applyBorder="1" applyAlignment="1">
      <alignment horizontal="center"/>
    </xf>
    <xf numFmtId="0" fontId="25" fillId="0" borderId="112" xfId="0" applyFont="1" applyBorder="1" applyAlignment="1">
      <alignment horizontal="center"/>
    </xf>
    <xf numFmtId="0" fontId="25" fillId="0" borderId="113" xfId="0" applyFont="1" applyBorder="1" applyAlignment="1">
      <alignment horizontal="center"/>
    </xf>
    <xf numFmtId="0" fontId="25" fillId="0" borderId="108" xfId="0" applyFont="1" applyBorder="1" applyAlignment="1">
      <alignment horizontal="center" vertical="center"/>
    </xf>
    <xf numFmtId="0" fontId="25" fillId="0" borderId="109" xfId="0" applyFont="1" applyBorder="1" applyAlignment="1">
      <alignment horizontal="center" vertical="center"/>
    </xf>
    <xf numFmtId="0" fontId="25" fillId="0" borderId="110" xfId="0" applyFont="1" applyBorder="1" applyAlignment="1">
      <alignment horizontal="center" vertical="center"/>
    </xf>
    <xf numFmtId="0" fontId="25" fillId="0" borderId="90" xfId="0" applyFont="1" applyBorder="1" applyAlignment="1">
      <alignment horizontal="center"/>
    </xf>
    <xf numFmtId="0" fontId="25" fillId="0" borderId="0" xfId="0" applyFont="1" applyBorder="1" applyAlignment="1">
      <alignment horizontal="center"/>
    </xf>
    <xf numFmtId="0" fontId="25" fillId="0" borderId="114" xfId="0" applyFont="1" applyBorder="1" applyAlignment="1">
      <alignment horizontal="center"/>
    </xf>
    <xf numFmtId="0" fontId="0" fillId="15" borderId="0" xfId="0" quotePrefix="1" applyFont="1" applyFill="1" applyBorder="1" applyAlignment="1">
      <alignment horizontal="center" vertical="center" wrapText="1"/>
    </xf>
    <xf numFmtId="0" fontId="0" fillId="15" borderId="16" xfId="0" applyFont="1" applyFill="1" applyBorder="1" applyAlignment="1">
      <alignment horizontal="center" vertical="center" wrapText="1"/>
    </xf>
    <xf numFmtId="0" fontId="0" fillId="15" borderId="17" xfId="0" applyFont="1" applyFill="1" applyBorder="1" applyAlignment="1">
      <alignment horizontal="center" vertical="center" wrapText="1"/>
    </xf>
    <xf numFmtId="0" fontId="0" fillId="15" borderId="18" xfId="0" applyFont="1" applyFill="1" applyBorder="1" applyAlignment="1">
      <alignment horizontal="center" vertical="center" wrapText="1"/>
    </xf>
    <xf numFmtId="0" fontId="0" fillId="15" borderId="16" xfId="0" applyFill="1" applyBorder="1" applyAlignment="1">
      <alignment horizontal="center" vertical="center" wrapText="1"/>
    </xf>
    <xf numFmtId="0" fontId="0" fillId="15" borderId="46" xfId="0" applyFont="1" applyFill="1" applyBorder="1" applyAlignment="1">
      <alignment horizontal="left" wrapText="1"/>
    </xf>
    <xf numFmtId="0" fontId="0" fillId="15" borderId="0" xfId="0" applyFont="1" applyFill="1" applyBorder="1" applyAlignment="1">
      <alignment horizontal="left" wrapText="1"/>
    </xf>
    <xf numFmtId="0" fontId="272" fillId="52" borderId="9" xfId="0" applyFont="1" applyFill="1" applyBorder="1" applyAlignment="1">
      <alignment horizontal="center" vertical="center"/>
    </xf>
    <xf numFmtId="0" fontId="272" fillId="52" borderId="0" xfId="0" applyFont="1" applyFill="1" applyBorder="1" applyAlignment="1">
      <alignment horizontal="center" vertical="center"/>
    </xf>
    <xf numFmtId="0" fontId="55" fillId="0" borderId="0" xfId="0" applyFont="1" applyAlignment="1">
      <alignment horizontal="left" vertical="center" wrapText="1"/>
    </xf>
    <xf numFmtId="2" fontId="55" fillId="0" borderId="48" xfId="0" applyNumberFormat="1" applyFont="1" applyFill="1" applyBorder="1" applyAlignment="1">
      <alignment horizontal="center" vertical="center"/>
    </xf>
    <xf numFmtId="2" fontId="55" fillId="0" borderId="60" xfId="0" applyNumberFormat="1" applyFont="1" applyFill="1" applyBorder="1" applyAlignment="1">
      <alignment horizontal="center" vertical="center"/>
    </xf>
    <xf numFmtId="0" fontId="273" fillId="17" borderId="0" xfId="194" applyFont="1" applyFill="1" applyBorder="1" applyAlignment="1">
      <alignment horizontal="center" vertical="center"/>
    </xf>
    <xf numFmtId="0" fontId="253" fillId="51" borderId="52" xfId="214" applyFont="1" applyFill="1" applyBorder="1" applyAlignment="1">
      <alignment horizontal="left" vertical="top" wrapText="1"/>
    </xf>
    <xf numFmtId="0" fontId="253" fillId="51" borderId="53" xfId="214" applyFont="1" applyFill="1" applyBorder="1" applyAlignment="1">
      <alignment horizontal="left" vertical="top" wrapText="1"/>
    </xf>
    <xf numFmtId="0" fontId="253" fillId="51" borderId="54" xfId="214" applyFont="1" applyFill="1" applyBorder="1" applyAlignment="1">
      <alignment horizontal="left" vertical="top" wrapText="1"/>
    </xf>
    <xf numFmtId="0" fontId="253" fillId="51" borderId="9" xfId="214" applyFont="1" applyFill="1" applyBorder="1" applyAlignment="1">
      <alignment horizontal="left" vertical="top" wrapText="1"/>
    </xf>
    <xf numFmtId="0" fontId="253" fillId="51" borderId="0" xfId="214" applyFont="1" applyFill="1" applyBorder="1" applyAlignment="1">
      <alignment horizontal="left" vertical="top" wrapText="1"/>
    </xf>
    <xf numFmtId="0" fontId="253" fillId="51" borderId="55" xfId="214" applyFont="1" applyFill="1" applyBorder="1" applyAlignment="1">
      <alignment horizontal="left" vertical="top" wrapText="1"/>
    </xf>
    <xf numFmtId="0" fontId="253" fillId="51" borderId="56" xfId="214" applyFont="1" applyFill="1" applyBorder="1" applyAlignment="1">
      <alignment horizontal="left" vertical="top" wrapText="1"/>
    </xf>
    <xf numFmtId="0" fontId="253" fillId="51" borderId="13" xfId="214" applyFont="1" applyFill="1" applyBorder="1" applyAlignment="1">
      <alignment horizontal="left" vertical="top" wrapText="1"/>
    </xf>
    <xf numFmtId="0" fontId="253" fillId="51" borderId="57" xfId="214" applyFont="1" applyFill="1" applyBorder="1" applyAlignment="1">
      <alignment horizontal="left" vertical="top" wrapText="1"/>
    </xf>
    <xf numFmtId="0" fontId="247" fillId="51" borderId="52" xfId="214" applyFont="1" applyFill="1" applyBorder="1" applyAlignment="1">
      <alignment horizontal="left" vertical="top" wrapText="1"/>
    </xf>
    <xf numFmtId="0" fontId="247" fillId="51" borderId="53" xfId="214" applyFont="1" applyFill="1" applyBorder="1" applyAlignment="1">
      <alignment horizontal="left" vertical="top" wrapText="1"/>
    </xf>
    <xf numFmtId="0" fontId="247" fillId="51" borderId="54" xfId="214" applyFont="1" applyFill="1" applyBorder="1" applyAlignment="1">
      <alignment horizontal="left" vertical="top" wrapText="1"/>
    </xf>
    <xf numFmtId="0" fontId="247" fillId="51" borderId="9" xfId="214" applyFont="1" applyFill="1" applyBorder="1" applyAlignment="1">
      <alignment horizontal="left" vertical="top" wrapText="1"/>
    </xf>
    <xf numFmtId="0" fontId="247" fillId="51" borderId="0" xfId="214" applyFont="1" applyFill="1" applyBorder="1" applyAlignment="1">
      <alignment horizontal="left" vertical="top" wrapText="1"/>
    </xf>
    <xf numFmtId="0" fontId="247" fillId="51" borderId="55" xfId="214" applyFont="1" applyFill="1" applyBorder="1" applyAlignment="1">
      <alignment horizontal="left" vertical="top" wrapText="1"/>
    </xf>
    <xf numFmtId="0" fontId="247" fillId="51" borderId="56" xfId="214" applyFont="1" applyFill="1" applyBorder="1" applyAlignment="1">
      <alignment horizontal="left" vertical="top" wrapText="1"/>
    </xf>
    <xf numFmtId="0" fontId="247" fillId="51" borderId="13" xfId="214" applyFont="1" applyFill="1" applyBorder="1" applyAlignment="1">
      <alignment horizontal="left" vertical="top" wrapText="1"/>
    </xf>
    <xf numFmtId="0" fontId="247" fillId="51" borderId="57" xfId="214" applyFont="1" applyFill="1" applyBorder="1" applyAlignment="1">
      <alignment horizontal="left" vertical="top" wrapText="1"/>
    </xf>
    <xf numFmtId="0" fontId="269" fillId="0" borderId="0" xfId="214" applyFont="1" applyAlignment="1">
      <alignment horizontal="left" vertical="top" wrapText="1"/>
    </xf>
    <xf numFmtId="0" fontId="272" fillId="52" borderId="0" xfId="0" applyFont="1" applyFill="1" applyBorder="1" applyAlignment="1">
      <alignment horizontal="left" vertical="center"/>
    </xf>
  </cellXfs>
  <cellStyles count="221">
    <cellStyle name="." xfId="7" xr:uid="{00000000-0005-0000-0000-000006000000}"/>
    <cellStyle name=".1" xfId="8" xr:uid="{00000000-0005-0000-0000-000007000000}"/>
    <cellStyle name=";;;" xfId="4" xr:uid="{00000000-0005-0000-0000-000003000000}"/>
    <cellStyle name="?? [0]_??" xfId="5" xr:uid="{00000000-0005-0000-0000-000004000000}"/>
    <cellStyle name="??_?.????" xfId="6" xr:uid="{00000000-0005-0000-0000-000005000000}"/>
    <cellStyle name="_Heading" xfId="1" xr:uid="{00000000-0005-0000-0000-000000000000}"/>
    <cellStyle name="_TableHead" xfId="2" xr:uid="{00000000-0005-0000-0000-000001000000}"/>
    <cellStyle name="_TableSuperHead" xfId="3" xr:uid="{00000000-0005-0000-0000-000002000000}"/>
    <cellStyle name="£Currency [0]" xfId="9" xr:uid="{00000000-0005-0000-0000-000008000000}"/>
    <cellStyle name="£Currency [1]" xfId="10" xr:uid="{00000000-0005-0000-0000-000009000000}"/>
    <cellStyle name="£Currency [2]" xfId="11" xr:uid="{00000000-0005-0000-0000-00000A000000}"/>
    <cellStyle name="£Currency [p]" xfId="12" xr:uid="{00000000-0005-0000-0000-00000B000000}"/>
    <cellStyle name="£Currency [p2]" xfId="13" xr:uid="{00000000-0005-0000-0000-00000C000000}"/>
    <cellStyle name="£Pounds" xfId="14" xr:uid="{00000000-0005-0000-0000-00000D000000}"/>
    <cellStyle name="000" xfId="15" xr:uid="{00000000-0005-0000-0000-00000E000000}"/>
    <cellStyle name="20% - Accent1" xfId="16" xr:uid="{00000000-0005-0000-0000-00000F000000}"/>
    <cellStyle name="20% - Colore 3 2" xfId="17" xr:uid="{00000000-0005-0000-0000-000010000000}"/>
    <cellStyle name="Actual Date" xfId="18" xr:uid="{00000000-0005-0000-0000-000011000000}"/>
    <cellStyle name="AFE" xfId="19" xr:uid="{00000000-0005-0000-0000-000012000000}"/>
    <cellStyle name="annee semestre" xfId="20" xr:uid="{00000000-0005-0000-0000-000013000000}"/>
    <cellStyle name="args.style" xfId="21" xr:uid="{00000000-0005-0000-0000-000014000000}"/>
    <cellStyle name="b" xfId="22" xr:uid="{00000000-0005-0000-0000-000015000000}"/>
    <cellStyle name="bl" xfId="23" xr:uid="{00000000-0005-0000-0000-000016000000}"/>
    <cellStyle name="blue shading" xfId="24" xr:uid="{00000000-0005-0000-0000-000017000000}"/>
    <cellStyle name="BMCheck" xfId="25" xr:uid="{00000000-0005-0000-0000-000018000000}"/>
    <cellStyle name="BMDate" xfId="26" xr:uid="{00000000-0005-0000-0000-000019000000}"/>
    <cellStyle name="BMHeading" xfId="27" xr:uid="{00000000-0005-0000-0000-00001A000000}"/>
    <cellStyle name="BMInputNormal" xfId="28" xr:uid="{00000000-0005-0000-0000-00001B000000}"/>
    <cellStyle name="BMInputPercent" xfId="29" xr:uid="{00000000-0005-0000-0000-00001C000000}"/>
    <cellStyle name="BMMultiple" xfId="30" xr:uid="{00000000-0005-0000-0000-00001D000000}"/>
    <cellStyle name="BMNormalDisplay" xfId="31" xr:uid="{00000000-0005-0000-0000-00001E000000}"/>
    <cellStyle name="BMPence" xfId="32" xr:uid="{00000000-0005-0000-0000-00001F000000}"/>
    <cellStyle name="BMPercent" xfId="33" xr:uid="{00000000-0005-0000-0000-000020000000}"/>
    <cellStyle name="BMPercentDisplay" xfId="34" xr:uid="{00000000-0005-0000-0000-000021000000}"/>
    <cellStyle name="Body" xfId="35" xr:uid="{00000000-0005-0000-0000-000022000000}"/>
    <cellStyle name="Border Heavy" xfId="36" xr:uid="{00000000-0005-0000-0000-000023000000}"/>
    <cellStyle name="Border Thin" xfId="37" xr:uid="{00000000-0005-0000-0000-000024000000}"/>
    <cellStyle name="c" xfId="38" xr:uid="{00000000-0005-0000-0000-000025000000}"/>
    <cellStyle name="Calc Currency (0)" xfId="39" xr:uid="{00000000-0005-0000-0000-000026000000}"/>
    <cellStyle name="Calcolo 2" xfId="40" xr:uid="{00000000-0005-0000-0000-000027000000}"/>
    <cellStyle name="ColHeading" xfId="41" xr:uid="{00000000-0005-0000-0000-000028000000}"/>
    <cellStyle name="Collegamento ipertestuale" xfId="42" builtinId="8"/>
    <cellStyle name="Collegamento ipertestuale 2" xfId="220" xr:uid="{00000000-0005-0000-0000-00002A000000}"/>
    <cellStyle name="Collegamento ipertestuale visitato" xfId="217" builtinId="9" hidden="1"/>
    <cellStyle name="Collegamento ipertestuale visitato" xfId="218" builtinId="9" hidden="1"/>
    <cellStyle name="Comma  - Style1" xfId="43" xr:uid="{00000000-0005-0000-0000-00002D000000}"/>
    <cellStyle name="Comma  - Style2" xfId="44" xr:uid="{00000000-0005-0000-0000-00002E000000}"/>
    <cellStyle name="Comma  - Style3" xfId="45" xr:uid="{00000000-0005-0000-0000-00002F000000}"/>
    <cellStyle name="Comma  - Style4" xfId="46" xr:uid="{00000000-0005-0000-0000-000030000000}"/>
    <cellStyle name="Comma  - Style5" xfId="47" xr:uid="{00000000-0005-0000-0000-000031000000}"/>
    <cellStyle name="Comma  - Style6" xfId="48" xr:uid="{00000000-0005-0000-0000-000032000000}"/>
    <cellStyle name="Comma  - Style7" xfId="49" xr:uid="{00000000-0005-0000-0000-000033000000}"/>
    <cellStyle name="Comma  - Style8" xfId="50" xr:uid="{00000000-0005-0000-0000-000034000000}"/>
    <cellStyle name="Comma [0]_A" xfId="51" xr:uid="{00000000-0005-0000-0000-000035000000}"/>
    <cellStyle name="Comma [1]" xfId="52" xr:uid="{00000000-0005-0000-0000-000036000000}"/>
    <cellStyle name="Comma_A" xfId="53" xr:uid="{00000000-0005-0000-0000-000037000000}"/>
    <cellStyle name="Company" xfId="54" xr:uid="{00000000-0005-0000-0000-000038000000}"/>
    <cellStyle name="Copied" xfId="55" xr:uid="{00000000-0005-0000-0000-000039000000}"/>
    <cellStyle name="cu" xfId="56" xr:uid="{00000000-0005-0000-0000-00003A000000}"/>
    <cellStyle name="CurRatio" xfId="57" xr:uid="{00000000-0005-0000-0000-00003B000000}"/>
    <cellStyle name="Currency [0]_A" xfId="58" xr:uid="{00000000-0005-0000-0000-00003C000000}"/>
    <cellStyle name="Currency [1]" xfId="59" xr:uid="{00000000-0005-0000-0000-00003D000000}"/>
    <cellStyle name="Currency [2]" xfId="60" xr:uid="{00000000-0005-0000-0000-00003E000000}"/>
    <cellStyle name="Currency_A" xfId="61" xr:uid="{00000000-0005-0000-0000-00003F000000}"/>
    <cellStyle name="Custom - Style8" xfId="62" xr:uid="{00000000-0005-0000-0000-000040000000}"/>
    <cellStyle name="Data   - Style2" xfId="63" xr:uid="{00000000-0005-0000-0000-000041000000}"/>
    <cellStyle name="Date" xfId="64" xr:uid="{00000000-0005-0000-0000-000042000000}"/>
    <cellStyle name="Dollars" xfId="65" xr:uid="{00000000-0005-0000-0000-000043000000}"/>
    <cellStyle name="données" xfId="66" xr:uid="{00000000-0005-0000-0000-000044000000}"/>
    <cellStyle name="donnéesbord" xfId="67" xr:uid="{00000000-0005-0000-0000-000045000000}"/>
    <cellStyle name="ëÉÜ_êøâè [0.00]_Region Orders (2)" xfId="68" xr:uid="{00000000-0005-0000-0000-000046000000}"/>
    <cellStyle name="Enfasi 1" xfId="69" builtinId="12"/>
    <cellStyle name="Enfasi 2" xfId="70" builtinId="13"/>
    <cellStyle name="Entered" xfId="71" xr:uid="{00000000-0005-0000-0000-000049000000}"/>
    <cellStyle name="Euro" xfId="72" xr:uid="{00000000-0005-0000-0000-00004A000000}"/>
    <cellStyle name="F2" xfId="73" xr:uid="{00000000-0005-0000-0000-00004B000000}"/>
    <cellStyle name="F3" xfId="74" xr:uid="{00000000-0005-0000-0000-00004C000000}"/>
    <cellStyle name="F4" xfId="75" xr:uid="{00000000-0005-0000-0000-00004D000000}"/>
    <cellStyle name="F5" xfId="76" xr:uid="{00000000-0005-0000-0000-00004E000000}"/>
    <cellStyle name="F6" xfId="77" xr:uid="{00000000-0005-0000-0000-00004F000000}"/>
    <cellStyle name="F7" xfId="78" xr:uid="{00000000-0005-0000-0000-000050000000}"/>
    <cellStyle name="F8" xfId="79" xr:uid="{00000000-0005-0000-0000-000051000000}"/>
    <cellStyle name="Fixed" xfId="80" xr:uid="{00000000-0005-0000-0000-000052000000}"/>
    <cellStyle name="Followed Hyperlink_0331longsht" xfId="81" xr:uid="{00000000-0005-0000-0000-000053000000}"/>
    <cellStyle name="General" xfId="82" xr:uid="{00000000-0005-0000-0000-000054000000}"/>
    <cellStyle name="Good" xfId="83" xr:uid="{00000000-0005-0000-0000-000055000000}"/>
    <cellStyle name="Grey" xfId="84" xr:uid="{00000000-0005-0000-0000-000056000000}"/>
    <cellStyle name="HEADER" xfId="85" xr:uid="{00000000-0005-0000-0000-000057000000}"/>
    <cellStyle name="Header1" xfId="86" xr:uid="{00000000-0005-0000-0000-000058000000}"/>
    <cellStyle name="Header2" xfId="87" xr:uid="{00000000-0005-0000-0000-000059000000}"/>
    <cellStyle name="Heading 2" xfId="88" xr:uid="{00000000-0005-0000-0000-00005A000000}"/>
    <cellStyle name="Heading1" xfId="89" xr:uid="{00000000-0005-0000-0000-00005B000000}"/>
    <cellStyle name="Heading2" xfId="90" xr:uid="{00000000-0005-0000-0000-00005C000000}"/>
    <cellStyle name="HIGHLIGHT" xfId="91" xr:uid="{00000000-0005-0000-0000-00005D000000}"/>
    <cellStyle name="Hyperlink_0331ytd_cal" xfId="92" xr:uid="{00000000-0005-0000-0000-00005E000000}"/>
    <cellStyle name="Inconsistent" xfId="93" xr:uid="{00000000-0005-0000-0000-00005F000000}"/>
    <cellStyle name="Input [yellow]" xfId="94" xr:uid="{00000000-0005-0000-0000-000060000000}"/>
    <cellStyle name="Input 2" xfId="95" xr:uid="{00000000-0005-0000-0000-000061000000}"/>
    <cellStyle name="Item" xfId="96" xr:uid="{00000000-0005-0000-0000-000062000000}"/>
    <cellStyle name="ItemTypeClass" xfId="97" xr:uid="{00000000-0005-0000-0000-000063000000}"/>
    <cellStyle name="Labels - Style3" xfId="98" xr:uid="{00000000-0005-0000-0000-000064000000}"/>
    <cellStyle name="Lien hypertexte" xfId="99" xr:uid="{00000000-0005-0000-0000-000065000000}"/>
    <cellStyle name="lm" xfId="100" xr:uid="{00000000-0005-0000-0000-000066000000}"/>
    <cellStyle name="Migliaia" xfId="210" builtinId="3"/>
    <cellStyle name="Migliaia (0)_Bgt-02-OE" xfId="101" xr:uid="{00000000-0005-0000-0000-000067000000}"/>
    <cellStyle name="Migliaia [0]" xfId="102" builtinId="6"/>
    <cellStyle name="Migliaia [0] 2" xfId="103" xr:uid="{00000000-0005-0000-0000-000069000000}"/>
    <cellStyle name="Migliaia [0] 2 2" xfId="104" xr:uid="{00000000-0005-0000-0000-00006A000000}"/>
    <cellStyle name="Migliaia [0] 3" xfId="105" xr:uid="{00000000-0005-0000-0000-00006B000000}"/>
    <cellStyle name="Migliaia 2" xfId="106" xr:uid="{00000000-0005-0000-0000-00006C000000}"/>
    <cellStyle name="Migliaia 2 2" xfId="107" xr:uid="{00000000-0005-0000-0000-00006D000000}"/>
    <cellStyle name="Migliaia 2 3" xfId="108" xr:uid="{00000000-0005-0000-0000-00006E000000}"/>
    <cellStyle name="Migliaia 2_20101210GSE piano v.02" xfId="109" xr:uid="{00000000-0005-0000-0000-00006F000000}"/>
    <cellStyle name="Migliaia 3" xfId="110" xr:uid="{00000000-0005-0000-0000-000070000000}"/>
    <cellStyle name="Migliaia 3 2" xfId="111" xr:uid="{00000000-0005-0000-0000-000071000000}"/>
    <cellStyle name="Migliaia 4" xfId="112" xr:uid="{00000000-0005-0000-0000-000072000000}"/>
    <cellStyle name="Millares [0]_MARK4 1999" xfId="113" xr:uid="{00000000-0005-0000-0000-000073000000}"/>
    <cellStyle name="Millares_MARK4 1999" xfId="114" xr:uid="{00000000-0005-0000-0000-000074000000}"/>
    <cellStyle name="Milliers [0]_!!!GO" xfId="115" xr:uid="{00000000-0005-0000-0000-000075000000}"/>
    <cellStyle name="Milliers_!!!GO" xfId="116" xr:uid="{00000000-0005-0000-0000-000076000000}"/>
    <cellStyle name="Moneda [0]_MARK4 1999" xfId="117" xr:uid="{00000000-0005-0000-0000-000077000000}"/>
    <cellStyle name="Moneda_MARK4 1999" xfId="118" xr:uid="{00000000-0005-0000-0000-000078000000}"/>
    <cellStyle name="Monétaire [0]_!!!GO" xfId="119" xr:uid="{00000000-0005-0000-0000-000079000000}"/>
    <cellStyle name="Monétaire_!!!GO" xfId="120" xr:uid="{00000000-0005-0000-0000-00007A000000}"/>
    <cellStyle name="Multiple" xfId="121" xr:uid="{00000000-0005-0000-0000-00007B000000}"/>
    <cellStyle name="Multiple [0]" xfId="122" xr:uid="{00000000-0005-0000-0000-00007C000000}"/>
    <cellStyle name="Multiple [1]" xfId="123" xr:uid="{00000000-0005-0000-0000-00007D000000}"/>
    <cellStyle name="Multiple_20110111 Garaventa BP bozza" xfId="124" xr:uid="{00000000-0005-0000-0000-00007E000000}"/>
    <cellStyle name="Neutral" xfId="125" xr:uid="{00000000-0005-0000-0000-00007F000000}"/>
    <cellStyle name="no dec" xfId="126" xr:uid="{00000000-0005-0000-0000-000080000000}"/>
    <cellStyle name="Non valido" xfId="127" xr:uid="{00000000-0005-0000-0000-000081000000}"/>
    <cellStyle name="Non_definito" xfId="128" xr:uid="{00000000-0005-0000-0000-000082000000}"/>
    <cellStyle name="Normal - Style1" xfId="129" xr:uid="{00000000-0005-0000-0000-000083000000}"/>
    <cellStyle name="Normal 2" xfId="130" xr:uid="{00000000-0005-0000-0000-000084000000}"/>
    <cellStyle name="Normal 3" xfId="131" xr:uid="{00000000-0005-0000-0000-000085000000}"/>
    <cellStyle name="Normal_02_28" xfId="132" xr:uid="{00000000-0005-0000-0000-000086000000}"/>
    <cellStyle name="Normal_M&amp;S ratios" xfId="133" xr:uid="{00000000-0005-0000-0000-000087000000}"/>
    <cellStyle name="Normal3d" xfId="134" xr:uid="{00000000-0005-0000-0000-000088000000}"/>
    <cellStyle name="Normale" xfId="0" builtinId="0"/>
    <cellStyle name="Normale 14" xfId="135" xr:uid="{00000000-0005-0000-0000-00008A000000}"/>
    <cellStyle name="Normale 19" xfId="136" xr:uid="{00000000-0005-0000-0000-00008B000000}"/>
    <cellStyle name="Normale 2" xfId="137" xr:uid="{00000000-0005-0000-0000-00008C000000}"/>
    <cellStyle name="Normale 2 2" xfId="138" xr:uid="{00000000-0005-0000-0000-00008D000000}"/>
    <cellStyle name="Normale 2_Pedrazzoli-Previsione 2012-2013 (versione 2BIS)" xfId="139" xr:uid="{00000000-0005-0000-0000-00008E000000}"/>
    <cellStyle name="Normale 20" xfId="140" xr:uid="{00000000-0005-0000-0000-00008F000000}"/>
    <cellStyle name="Normale 21" xfId="141" xr:uid="{00000000-0005-0000-0000-000090000000}"/>
    <cellStyle name="Normale 22" xfId="142" xr:uid="{00000000-0005-0000-0000-000091000000}"/>
    <cellStyle name="Normale 3" xfId="143" xr:uid="{00000000-0005-0000-0000-000092000000}"/>
    <cellStyle name="Normale 3 2" xfId="144" xr:uid="{00000000-0005-0000-0000-000093000000}"/>
    <cellStyle name="Normale 3_Pedrazzoli-Previsione 2012-2013 (versione 2BIS)" xfId="145" xr:uid="{00000000-0005-0000-0000-000094000000}"/>
    <cellStyle name="Normale 4" xfId="146" xr:uid="{00000000-0005-0000-0000-000095000000}"/>
    <cellStyle name="Normale 42" xfId="147" xr:uid="{00000000-0005-0000-0000-000096000000}"/>
    <cellStyle name="Normale 43" xfId="148" xr:uid="{00000000-0005-0000-0000-000097000000}"/>
    <cellStyle name="Normale 5" xfId="149" xr:uid="{00000000-0005-0000-0000-000098000000}"/>
    <cellStyle name="Normale 6" xfId="150" xr:uid="{00000000-0005-0000-0000-000099000000}"/>
    <cellStyle name="Normale 7" xfId="214" xr:uid="{00000000-0005-0000-0000-00009A000000}"/>
    <cellStyle name="Normale 8" xfId="219" xr:uid="{00000000-0005-0000-0000-00009B000000}"/>
    <cellStyle name="Normale_Pedrazzoli-Previsione 2012-2013 (versione 2BIS)" xfId="151" xr:uid="{00000000-0005-0000-0000-00009C000000}"/>
    <cellStyle name="notes" xfId="152" xr:uid="{00000000-0005-0000-0000-00009D000000}"/>
    <cellStyle name="Number" xfId="153" xr:uid="{00000000-0005-0000-0000-00009E000000}"/>
    <cellStyle name="Œ…‹æØ‚è [0.00]_Region Orders (2)" xfId="154" xr:uid="{00000000-0005-0000-0000-00009F000000}"/>
    <cellStyle name="Œ…‹æØ‚è_Region Orders (2)" xfId="155" xr:uid="{00000000-0005-0000-0000-0000A0000000}"/>
    <cellStyle name="p1" xfId="156" xr:uid="{00000000-0005-0000-0000-0000A1000000}"/>
    <cellStyle name="pb_page_heading_LS" xfId="157" xr:uid="{00000000-0005-0000-0000-0000A2000000}"/>
    <cellStyle name="per.style" xfId="158" xr:uid="{00000000-0005-0000-0000-0000A3000000}"/>
    <cellStyle name="Percent [0]" xfId="159" xr:uid="{00000000-0005-0000-0000-0000A4000000}"/>
    <cellStyle name="Percent [1]" xfId="160" xr:uid="{00000000-0005-0000-0000-0000A5000000}"/>
    <cellStyle name="Percent [2]" xfId="161" xr:uid="{00000000-0005-0000-0000-0000A6000000}"/>
    <cellStyle name="Percent_Project Agrati LBO Model vs 1.0" xfId="162" xr:uid="{00000000-0005-0000-0000-0000A7000000}"/>
    <cellStyle name="PercentChange" xfId="163" xr:uid="{00000000-0005-0000-0000-0000A8000000}"/>
    <cellStyle name="Percentuale" xfId="164" builtinId="5"/>
    <cellStyle name="Percentuale 2" xfId="165" xr:uid="{00000000-0005-0000-0000-0000AA000000}"/>
    <cellStyle name="Percentuale 2 2" xfId="166" xr:uid="{00000000-0005-0000-0000-0000AB000000}"/>
    <cellStyle name="Percentuale 2 3" xfId="167" xr:uid="{00000000-0005-0000-0000-0000AC000000}"/>
    <cellStyle name="Percentuale 2_Pedrazzoli-Previsione 2012-2013 (versione 2BIS)" xfId="168" xr:uid="{00000000-0005-0000-0000-0000AD000000}"/>
    <cellStyle name="Percentuale 3" xfId="169" xr:uid="{00000000-0005-0000-0000-0000AE000000}"/>
    <cellStyle name="Percentuale 4" xfId="170" xr:uid="{00000000-0005-0000-0000-0000AF000000}"/>
    <cellStyle name="Percentuale 5" xfId="171" xr:uid="{00000000-0005-0000-0000-0000B0000000}"/>
    <cellStyle name="Percentuale 6" xfId="215" xr:uid="{00000000-0005-0000-0000-0000B1000000}"/>
    <cellStyle name="Price" xfId="172" xr:uid="{00000000-0005-0000-0000-0000B2000000}"/>
    <cellStyle name="pricing" xfId="173" xr:uid="{00000000-0005-0000-0000-0000B3000000}"/>
    <cellStyle name="PSHeading" xfId="174" xr:uid="{00000000-0005-0000-0000-0000B4000000}"/>
    <cellStyle name="r" xfId="175" xr:uid="{00000000-0005-0000-0000-0000B5000000}"/>
    <cellStyle name="Reset  - Style7" xfId="176" xr:uid="{00000000-0005-0000-0000-0000B6000000}"/>
    <cellStyle name="RevList" xfId="177" xr:uid="{00000000-0005-0000-0000-0000B7000000}"/>
    <cellStyle name="ScripFactor" xfId="178" xr:uid="{00000000-0005-0000-0000-0000B8000000}"/>
    <cellStyle name="SectionHeading" xfId="179" xr:uid="{00000000-0005-0000-0000-0000B9000000}"/>
    <cellStyle name="semestre" xfId="180" xr:uid="{00000000-0005-0000-0000-0000BA000000}"/>
    <cellStyle name="Sheet Name" xfId="181" xr:uid="{00000000-0005-0000-0000-0000BB000000}"/>
    <cellStyle name="Stile 1" xfId="182" xr:uid="{00000000-0005-0000-0000-0000BC000000}"/>
    <cellStyle name="Subtotal" xfId="183" xr:uid="{00000000-0005-0000-0000-0000BD000000}"/>
    <cellStyle name="Table  - Style6" xfId="184" xr:uid="{00000000-0005-0000-0000-0000BE000000}"/>
    <cellStyle name="Table Head" xfId="185" xr:uid="{00000000-0005-0000-0000-0000BF000000}"/>
    <cellStyle name="Table Head Aligned" xfId="186" xr:uid="{00000000-0005-0000-0000-0000C0000000}"/>
    <cellStyle name="Table Title" xfId="187" xr:uid="{00000000-0005-0000-0000-0000C1000000}"/>
    <cellStyle name="Table Units" xfId="188" xr:uid="{00000000-0005-0000-0000-0000C2000000}"/>
    <cellStyle name="TableSubTitleItalic" xfId="189" xr:uid="{00000000-0005-0000-0000-0000C3000000}"/>
    <cellStyle name="test a style" xfId="190" xr:uid="{00000000-0005-0000-0000-0000C4000000}"/>
    <cellStyle name="tête chapitre" xfId="191" xr:uid="{00000000-0005-0000-0000-0000C5000000}"/>
    <cellStyle name="Title  - Style1" xfId="192" xr:uid="{00000000-0005-0000-0000-0000C6000000}"/>
    <cellStyle name="Titles" xfId="193" xr:uid="{00000000-0005-0000-0000-0000C7000000}"/>
    <cellStyle name="Titolo 2" xfId="194" builtinId="17"/>
    <cellStyle name="titre" xfId="195" xr:uid="{00000000-0005-0000-0000-0000C9000000}"/>
    <cellStyle name="Total" xfId="196" xr:uid="{00000000-0005-0000-0000-0000CA000000}"/>
    <cellStyle name="TotCol - Style5" xfId="197" xr:uid="{00000000-0005-0000-0000-0000CB000000}"/>
    <cellStyle name="TotRow - Style4" xfId="198" xr:uid="{00000000-0005-0000-0000-0000CC000000}"/>
    <cellStyle name="u" xfId="199" xr:uid="{00000000-0005-0000-0000-0000CD000000}"/>
    <cellStyle name="Unprot" xfId="200" xr:uid="{00000000-0005-0000-0000-0000CE000000}"/>
    <cellStyle name="Unprot$" xfId="201" xr:uid="{00000000-0005-0000-0000-0000CF000000}"/>
    <cellStyle name="Unprotect" xfId="202" xr:uid="{00000000-0005-0000-0000-0000D0000000}"/>
    <cellStyle name="Valido" xfId="203" xr:uid="{00000000-0005-0000-0000-0000D1000000}"/>
    <cellStyle name="Valuta" xfId="204" builtinId="4"/>
    <cellStyle name="Valuta (0)_Analisi" xfId="205" xr:uid="{00000000-0005-0000-0000-0000D3000000}"/>
    <cellStyle name="Valuta 2" xfId="206" xr:uid="{00000000-0005-0000-0000-0000D4000000}"/>
    <cellStyle name="Valuta 3" xfId="207" xr:uid="{00000000-0005-0000-0000-0000D5000000}"/>
    <cellStyle name="Valuta 4" xfId="208" xr:uid="{00000000-0005-0000-0000-0000D6000000}"/>
    <cellStyle name="Valuta 5" xfId="209" xr:uid="{00000000-0005-0000-0000-0000D7000000}"/>
    <cellStyle name="Valuta 6" xfId="216" xr:uid="{00000000-0005-0000-0000-0000D8000000}"/>
    <cellStyle name="Virgola 2" xfId="211" xr:uid="{00000000-0005-0000-0000-0000DA000000}"/>
    <cellStyle name="Virgola 3" xfId="212" xr:uid="{00000000-0005-0000-0000-0000DB000000}"/>
    <cellStyle name="Year" xfId="213" xr:uid="{00000000-0005-0000-0000-0000DC000000}"/>
  </cellStyles>
  <dxfs count="29">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ont>
        <color auto="1"/>
      </font>
      <fill>
        <patternFill patternType="solid">
          <fgColor indexed="64"/>
          <bgColor rgb="FFFFFF00"/>
        </patternFill>
      </fill>
    </dxf>
    <dxf>
      <fill>
        <patternFill>
          <bgColor rgb="FF92D050"/>
        </patternFill>
      </fill>
    </dxf>
    <dxf>
      <font>
        <color auto="1"/>
      </font>
      <fill>
        <patternFill>
          <bgColor rgb="FFFF0000"/>
        </patternFill>
      </fill>
    </dxf>
    <dxf>
      <fill>
        <patternFill>
          <bgColor rgb="FFFFFF00"/>
        </patternFill>
      </fill>
    </dxf>
    <dxf>
      <font>
        <color auto="1"/>
      </font>
      <fill>
        <patternFill patternType="solid">
          <fgColor indexed="64"/>
          <bgColor rgb="FFFFFF00"/>
        </patternFill>
      </fill>
    </dxf>
    <dxf>
      <font>
        <color auto="1"/>
      </font>
      <fill>
        <patternFill patternType="solid">
          <fgColor indexed="64"/>
          <bgColor theme="9" tint="0.39997558519241921"/>
        </patternFill>
      </fill>
    </dxf>
    <dxf>
      <font>
        <color auto="1"/>
      </font>
      <fill>
        <patternFill patternType="solid">
          <fgColor indexed="64"/>
          <bgColor rgb="FF008000"/>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border outline="0">
        <left style="medium">
          <color rgb="FFCCCCCC"/>
        </left>
        <right style="medium">
          <color rgb="FFCCCCCC"/>
        </right>
        <top style="medium">
          <color rgb="FFCCCCCC"/>
        </top>
        <bottom style="medium">
          <color rgb="FFCCCCCC"/>
        </bottom>
      </border>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63" Type="http://schemas.openxmlformats.org/officeDocument/2006/relationships/externalLink" Target="externalLinks/externalLink21.xml"/><Relationship Id="rId68" Type="http://schemas.openxmlformats.org/officeDocument/2006/relationships/externalLink" Target="externalLinks/externalLink26.xml"/><Relationship Id="rId76" Type="http://schemas.openxmlformats.org/officeDocument/2006/relationships/externalLink" Target="externalLinks/externalLink34.xml"/><Relationship Id="rId84" Type="http://schemas.openxmlformats.org/officeDocument/2006/relationships/externalLink" Target="externalLinks/externalLink42.xml"/><Relationship Id="rId89" Type="http://schemas.openxmlformats.org/officeDocument/2006/relationships/externalLink" Target="externalLinks/externalLink47.xml"/><Relationship Id="rId97" Type="http://schemas.openxmlformats.org/officeDocument/2006/relationships/externalLink" Target="externalLinks/externalLink55.xml"/><Relationship Id="rId7" Type="http://schemas.openxmlformats.org/officeDocument/2006/relationships/worksheet" Target="worksheets/sheet7.xml"/><Relationship Id="rId71" Type="http://schemas.openxmlformats.org/officeDocument/2006/relationships/externalLink" Target="externalLinks/externalLink29.xml"/><Relationship Id="rId92" Type="http://schemas.openxmlformats.org/officeDocument/2006/relationships/externalLink" Target="externalLinks/externalLink50.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externalLink" Target="externalLinks/externalLink16.xml"/><Relationship Id="rId66" Type="http://schemas.openxmlformats.org/officeDocument/2006/relationships/externalLink" Target="externalLinks/externalLink24.xml"/><Relationship Id="rId74" Type="http://schemas.openxmlformats.org/officeDocument/2006/relationships/externalLink" Target="externalLinks/externalLink32.xml"/><Relationship Id="rId79" Type="http://schemas.openxmlformats.org/officeDocument/2006/relationships/externalLink" Target="externalLinks/externalLink37.xml"/><Relationship Id="rId87" Type="http://schemas.openxmlformats.org/officeDocument/2006/relationships/externalLink" Target="externalLinks/externalLink45.xml"/><Relationship Id="rId5" Type="http://schemas.openxmlformats.org/officeDocument/2006/relationships/worksheet" Target="worksheets/sheet5.xml"/><Relationship Id="rId61" Type="http://schemas.openxmlformats.org/officeDocument/2006/relationships/externalLink" Target="externalLinks/externalLink19.xml"/><Relationship Id="rId82" Type="http://schemas.openxmlformats.org/officeDocument/2006/relationships/externalLink" Target="externalLinks/externalLink40.xml"/><Relationship Id="rId90" Type="http://schemas.openxmlformats.org/officeDocument/2006/relationships/externalLink" Target="externalLinks/externalLink48.xml"/><Relationship Id="rId95" Type="http://schemas.openxmlformats.org/officeDocument/2006/relationships/externalLink" Target="externalLinks/externalLink5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64" Type="http://schemas.openxmlformats.org/officeDocument/2006/relationships/externalLink" Target="externalLinks/externalLink22.xml"/><Relationship Id="rId69" Type="http://schemas.openxmlformats.org/officeDocument/2006/relationships/externalLink" Target="externalLinks/externalLink27.xml"/><Relationship Id="rId77" Type="http://schemas.openxmlformats.org/officeDocument/2006/relationships/externalLink" Target="externalLinks/externalLink35.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9.xml"/><Relationship Id="rId72" Type="http://schemas.openxmlformats.org/officeDocument/2006/relationships/externalLink" Target="externalLinks/externalLink30.xml"/><Relationship Id="rId80" Type="http://schemas.openxmlformats.org/officeDocument/2006/relationships/externalLink" Target="externalLinks/externalLink38.xml"/><Relationship Id="rId85" Type="http://schemas.openxmlformats.org/officeDocument/2006/relationships/externalLink" Target="externalLinks/externalLink43.xml"/><Relationship Id="rId93" Type="http://schemas.openxmlformats.org/officeDocument/2006/relationships/externalLink" Target="externalLinks/externalLink51.xml"/><Relationship Id="rId98"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externalLink" Target="externalLinks/externalLink17.xml"/><Relationship Id="rId67" Type="http://schemas.openxmlformats.org/officeDocument/2006/relationships/externalLink" Target="externalLinks/externalLink2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62" Type="http://schemas.openxmlformats.org/officeDocument/2006/relationships/externalLink" Target="externalLinks/externalLink20.xml"/><Relationship Id="rId70" Type="http://schemas.openxmlformats.org/officeDocument/2006/relationships/externalLink" Target="externalLinks/externalLink28.xml"/><Relationship Id="rId75" Type="http://schemas.openxmlformats.org/officeDocument/2006/relationships/externalLink" Target="externalLinks/externalLink33.xml"/><Relationship Id="rId83" Type="http://schemas.openxmlformats.org/officeDocument/2006/relationships/externalLink" Target="externalLinks/externalLink41.xml"/><Relationship Id="rId88" Type="http://schemas.openxmlformats.org/officeDocument/2006/relationships/externalLink" Target="externalLinks/externalLink46.xml"/><Relationship Id="rId91" Type="http://schemas.openxmlformats.org/officeDocument/2006/relationships/externalLink" Target="externalLinks/externalLink49.xml"/><Relationship Id="rId96" Type="http://schemas.openxmlformats.org/officeDocument/2006/relationships/externalLink" Target="externalLinks/externalLink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externalLink" Target="externalLinks/externalLink18.xml"/><Relationship Id="rId65" Type="http://schemas.openxmlformats.org/officeDocument/2006/relationships/externalLink" Target="externalLinks/externalLink23.xml"/><Relationship Id="rId73" Type="http://schemas.openxmlformats.org/officeDocument/2006/relationships/externalLink" Target="externalLinks/externalLink31.xml"/><Relationship Id="rId78" Type="http://schemas.openxmlformats.org/officeDocument/2006/relationships/externalLink" Target="externalLinks/externalLink36.xml"/><Relationship Id="rId81" Type="http://schemas.openxmlformats.org/officeDocument/2006/relationships/externalLink" Target="externalLinks/externalLink39.xml"/><Relationship Id="rId86" Type="http://schemas.openxmlformats.org/officeDocument/2006/relationships/externalLink" Target="externalLinks/externalLink44.xml"/><Relationship Id="rId94" Type="http://schemas.openxmlformats.org/officeDocument/2006/relationships/externalLink" Target="externalLinks/externalLink52.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'Currency Rates'!$A$5:$B$5</c:f>
              <c:strCache>
                <c:ptCount val="1"/>
                <c:pt idx="0">
                  <c:v>Euro/USD Monthly average</c:v>
                </c:pt>
              </c:strCache>
            </c:strRef>
          </c:tx>
          <c:marker>
            <c:symbol val="none"/>
          </c:marker>
          <c:cat>
            <c:numRef>
              <c:f>'Currency Rates'!$A$7:$A$45</c:f>
              <c:numCache>
                <c:formatCode>mmm\-yy</c:formatCode>
                <c:ptCount val="39"/>
                <c:pt idx="0">
                  <c:v>41153</c:v>
                </c:pt>
                <c:pt idx="1">
                  <c:v>41183</c:v>
                </c:pt>
                <c:pt idx="2">
                  <c:v>41214</c:v>
                </c:pt>
                <c:pt idx="3">
                  <c:v>41244</c:v>
                </c:pt>
                <c:pt idx="4">
                  <c:v>41275</c:v>
                </c:pt>
                <c:pt idx="5">
                  <c:v>41306</c:v>
                </c:pt>
                <c:pt idx="6">
                  <c:v>41334</c:v>
                </c:pt>
                <c:pt idx="7">
                  <c:v>41365</c:v>
                </c:pt>
                <c:pt idx="8">
                  <c:v>41395</c:v>
                </c:pt>
                <c:pt idx="9">
                  <c:v>41426</c:v>
                </c:pt>
                <c:pt idx="10">
                  <c:v>41456</c:v>
                </c:pt>
                <c:pt idx="11">
                  <c:v>41487</c:v>
                </c:pt>
                <c:pt idx="12">
                  <c:v>41518</c:v>
                </c:pt>
                <c:pt idx="13">
                  <c:v>41548</c:v>
                </c:pt>
                <c:pt idx="14">
                  <c:v>41579</c:v>
                </c:pt>
                <c:pt idx="15">
                  <c:v>41609</c:v>
                </c:pt>
                <c:pt idx="16">
                  <c:v>41640</c:v>
                </c:pt>
                <c:pt idx="17">
                  <c:v>41671</c:v>
                </c:pt>
                <c:pt idx="18">
                  <c:v>41699</c:v>
                </c:pt>
                <c:pt idx="19">
                  <c:v>41730</c:v>
                </c:pt>
                <c:pt idx="20">
                  <c:v>41760</c:v>
                </c:pt>
                <c:pt idx="21">
                  <c:v>41791</c:v>
                </c:pt>
                <c:pt idx="22">
                  <c:v>41821</c:v>
                </c:pt>
                <c:pt idx="23">
                  <c:v>41852</c:v>
                </c:pt>
                <c:pt idx="24">
                  <c:v>41883</c:v>
                </c:pt>
                <c:pt idx="25">
                  <c:v>41913</c:v>
                </c:pt>
                <c:pt idx="26">
                  <c:v>41944</c:v>
                </c:pt>
                <c:pt idx="27">
                  <c:v>41974</c:v>
                </c:pt>
                <c:pt idx="28">
                  <c:v>42005</c:v>
                </c:pt>
                <c:pt idx="29">
                  <c:v>42036</c:v>
                </c:pt>
                <c:pt idx="30">
                  <c:v>42064</c:v>
                </c:pt>
                <c:pt idx="31">
                  <c:v>42095</c:v>
                </c:pt>
                <c:pt idx="32">
                  <c:v>42125</c:v>
                </c:pt>
                <c:pt idx="33">
                  <c:v>42156</c:v>
                </c:pt>
                <c:pt idx="34">
                  <c:v>42186</c:v>
                </c:pt>
                <c:pt idx="35">
                  <c:v>42217</c:v>
                </c:pt>
                <c:pt idx="36">
                  <c:v>42248</c:v>
                </c:pt>
                <c:pt idx="37">
                  <c:v>42278</c:v>
                </c:pt>
                <c:pt idx="38">
                  <c:v>42309</c:v>
                </c:pt>
              </c:numCache>
            </c:numRef>
          </c:cat>
          <c:val>
            <c:numRef>
              <c:f>'Currency Rates'!$B$7:$B$45</c:f>
              <c:numCache>
                <c:formatCode>0.000</c:formatCode>
                <c:ptCount val="39"/>
                <c:pt idx="0">
                  <c:v>1.2855700000000001</c:v>
                </c:pt>
                <c:pt idx="1">
                  <c:v>1.29742</c:v>
                </c:pt>
                <c:pt idx="2">
                  <c:v>1.28277</c:v>
                </c:pt>
                <c:pt idx="3">
                  <c:v>1.3119400000000001</c:v>
                </c:pt>
                <c:pt idx="4">
                  <c:v>0.13288</c:v>
                </c:pt>
                <c:pt idx="5">
                  <c:v>1.3359099999999999</c:v>
                </c:pt>
                <c:pt idx="6">
                  <c:v>1.29636</c:v>
                </c:pt>
                <c:pt idx="7">
                  <c:v>0.13025999999999999</c:v>
                </c:pt>
                <c:pt idx="8">
                  <c:v>0.12981999999999999</c:v>
                </c:pt>
                <c:pt idx="9">
                  <c:v>1.3188800000000001</c:v>
                </c:pt>
                <c:pt idx="10">
                  <c:v>1.3080099999999999</c:v>
                </c:pt>
                <c:pt idx="11">
                  <c:v>1.3309500000000001</c:v>
                </c:pt>
                <c:pt idx="12">
                  <c:v>1.3347899999999999</c:v>
                </c:pt>
                <c:pt idx="13">
                  <c:v>0.13635</c:v>
                </c:pt>
                <c:pt idx="14">
                  <c:v>1.3492900000000001</c:v>
                </c:pt>
                <c:pt idx="15">
                  <c:v>1.37036</c:v>
                </c:pt>
                <c:pt idx="16">
                  <c:v>1.3610199999999999</c:v>
                </c:pt>
                <c:pt idx="17">
                  <c:v>1.36585</c:v>
                </c:pt>
                <c:pt idx="18">
                  <c:v>1.38225</c:v>
                </c:pt>
                <c:pt idx="19">
                  <c:v>1.3812500000000001</c:v>
                </c:pt>
                <c:pt idx="20">
                  <c:v>1.37321</c:v>
                </c:pt>
                <c:pt idx="21">
                  <c:v>1.35924</c:v>
                </c:pt>
                <c:pt idx="22">
                  <c:v>1.35392</c:v>
                </c:pt>
                <c:pt idx="23">
                  <c:v>1.33161</c:v>
                </c:pt>
                <c:pt idx="24">
                  <c:v>1.2901400000000001</c:v>
                </c:pt>
                <c:pt idx="25">
                  <c:v>1.2672699999999999</c:v>
                </c:pt>
                <c:pt idx="26">
                  <c:v>1.24722</c:v>
                </c:pt>
                <c:pt idx="27">
                  <c:v>1.2331300000000001</c:v>
                </c:pt>
                <c:pt idx="28">
                  <c:v>1.1621300000000001</c:v>
                </c:pt>
                <c:pt idx="29">
                  <c:v>1.13497</c:v>
                </c:pt>
                <c:pt idx="30">
                  <c:v>1.0837699999999999</c:v>
                </c:pt>
                <c:pt idx="31">
                  <c:v>1.0779300000000001</c:v>
                </c:pt>
                <c:pt idx="32">
                  <c:v>1.11496</c:v>
                </c:pt>
                <c:pt idx="33">
                  <c:v>1.1213200000000001</c:v>
                </c:pt>
                <c:pt idx="34">
                  <c:v>1.09958</c:v>
                </c:pt>
                <c:pt idx="35">
                  <c:v>0.11139</c:v>
                </c:pt>
                <c:pt idx="36">
                  <c:v>1.12212</c:v>
                </c:pt>
                <c:pt idx="37">
                  <c:v>1.12351</c:v>
                </c:pt>
                <c:pt idx="38">
                  <c:v>0.10736</c:v>
                </c:pt>
              </c:numCache>
            </c:numRef>
          </c:val>
          <c:smooth val="0"/>
          <c:extLst>
            <c:ext xmlns:c16="http://schemas.microsoft.com/office/drawing/2014/chart" uri="{C3380CC4-5D6E-409C-BE32-E72D297353CC}">
              <c16:uniqueId val="{00000000-4D41-401D-B5CE-CC95630DE096}"/>
            </c:ext>
          </c:extLst>
        </c:ser>
        <c:dLbls>
          <c:showLegendKey val="0"/>
          <c:showVal val="0"/>
          <c:showCatName val="0"/>
          <c:showSerName val="0"/>
          <c:showPercent val="0"/>
          <c:showBubbleSize val="0"/>
        </c:dLbls>
        <c:smooth val="0"/>
        <c:axId val="2121953784"/>
        <c:axId val="2122277000"/>
      </c:lineChart>
      <c:dateAx>
        <c:axId val="2121953784"/>
        <c:scaling>
          <c:orientation val="minMax"/>
        </c:scaling>
        <c:delete val="0"/>
        <c:axPos val="b"/>
        <c:numFmt formatCode="mmm\-yy" sourceLinked="1"/>
        <c:majorTickMark val="out"/>
        <c:minorTickMark val="none"/>
        <c:tickLblPos val="nextTo"/>
        <c:crossAx val="2122277000"/>
        <c:crosses val="autoZero"/>
        <c:auto val="1"/>
        <c:lblOffset val="100"/>
        <c:baseTimeUnit val="months"/>
      </c:dateAx>
      <c:valAx>
        <c:axId val="2122277000"/>
        <c:scaling>
          <c:orientation val="minMax"/>
        </c:scaling>
        <c:delete val="0"/>
        <c:axPos val="l"/>
        <c:majorGridlines/>
        <c:numFmt formatCode="0.000" sourceLinked="1"/>
        <c:majorTickMark val="out"/>
        <c:minorTickMark val="none"/>
        <c:tickLblPos val="nextTo"/>
        <c:crossAx val="21219537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'Currency Rates'!$A$49</c:f>
              <c:strCache>
                <c:ptCount val="1"/>
                <c:pt idx="0">
                  <c:v>Euro/YUAN Monthly average</c:v>
                </c:pt>
              </c:strCache>
            </c:strRef>
          </c:tx>
          <c:marker>
            <c:symbol val="none"/>
          </c:marker>
          <c:cat>
            <c:numRef>
              <c:f>'Currency Rates'!$A$50:$A$88</c:f>
              <c:numCache>
                <c:formatCode>mmm\-yy</c:formatCode>
                <c:ptCount val="39"/>
                <c:pt idx="0">
                  <c:v>41153</c:v>
                </c:pt>
                <c:pt idx="1">
                  <c:v>41183</c:v>
                </c:pt>
                <c:pt idx="2">
                  <c:v>41214</c:v>
                </c:pt>
                <c:pt idx="3">
                  <c:v>41244</c:v>
                </c:pt>
                <c:pt idx="4">
                  <c:v>41275</c:v>
                </c:pt>
                <c:pt idx="5">
                  <c:v>41306</c:v>
                </c:pt>
                <c:pt idx="6">
                  <c:v>41334</c:v>
                </c:pt>
                <c:pt idx="7">
                  <c:v>41365</c:v>
                </c:pt>
                <c:pt idx="8">
                  <c:v>41395</c:v>
                </c:pt>
                <c:pt idx="9">
                  <c:v>41426</c:v>
                </c:pt>
                <c:pt idx="10">
                  <c:v>41456</c:v>
                </c:pt>
                <c:pt idx="11">
                  <c:v>41487</c:v>
                </c:pt>
                <c:pt idx="12">
                  <c:v>41518</c:v>
                </c:pt>
                <c:pt idx="13">
                  <c:v>41548</c:v>
                </c:pt>
                <c:pt idx="14">
                  <c:v>41579</c:v>
                </c:pt>
                <c:pt idx="15">
                  <c:v>41609</c:v>
                </c:pt>
                <c:pt idx="16">
                  <c:v>41640</c:v>
                </c:pt>
                <c:pt idx="17">
                  <c:v>41671</c:v>
                </c:pt>
                <c:pt idx="18">
                  <c:v>41699</c:v>
                </c:pt>
                <c:pt idx="19">
                  <c:v>41730</c:v>
                </c:pt>
                <c:pt idx="20">
                  <c:v>41760</c:v>
                </c:pt>
                <c:pt idx="21">
                  <c:v>41791</c:v>
                </c:pt>
                <c:pt idx="22">
                  <c:v>41821</c:v>
                </c:pt>
                <c:pt idx="23">
                  <c:v>41852</c:v>
                </c:pt>
                <c:pt idx="24">
                  <c:v>41883</c:v>
                </c:pt>
                <c:pt idx="25">
                  <c:v>41913</c:v>
                </c:pt>
                <c:pt idx="26">
                  <c:v>41944</c:v>
                </c:pt>
                <c:pt idx="27">
                  <c:v>41974</c:v>
                </c:pt>
                <c:pt idx="28">
                  <c:v>42005</c:v>
                </c:pt>
                <c:pt idx="29">
                  <c:v>42036</c:v>
                </c:pt>
                <c:pt idx="30">
                  <c:v>42064</c:v>
                </c:pt>
                <c:pt idx="31">
                  <c:v>42095</c:v>
                </c:pt>
                <c:pt idx="32">
                  <c:v>42125</c:v>
                </c:pt>
                <c:pt idx="33">
                  <c:v>42156</c:v>
                </c:pt>
                <c:pt idx="34">
                  <c:v>42186</c:v>
                </c:pt>
                <c:pt idx="35">
                  <c:v>42217</c:v>
                </c:pt>
                <c:pt idx="36">
                  <c:v>42248</c:v>
                </c:pt>
                <c:pt idx="37">
                  <c:v>42278</c:v>
                </c:pt>
                <c:pt idx="38">
                  <c:v>42309</c:v>
                </c:pt>
              </c:numCache>
            </c:numRef>
          </c:cat>
          <c:val>
            <c:numRef>
              <c:f>'Currency Rates'!$B$50:$B$88</c:f>
              <c:numCache>
                <c:formatCode>0.000</c:formatCode>
                <c:ptCount val="39"/>
                <c:pt idx="0">
                  <c:v>8.1272500000000001</c:v>
                </c:pt>
                <c:pt idx="1">
                  <c:v>8.1389899999999997</c:v>
                </c:pt>
                <c:pt idx="2">
                  <c:v>7.9998100000000001</c:v>
                </c:pt>
                <c:pt idx="3">
                  <c:v>8.1808599999999991</c:v>
                </c:pt>
                <c:pt idx="4">
                  <c:v>8.2697900000000004</c:v>
                </c:pt>
                <c:pt idx="5">
                  <c:v>8.32822</c:v>
                </c:pt>
                <c:pt idx="6">
                  <c:v>0.80598999999999998</c:v>
                </c:pt>
                <c:pt idx="7">
                  <c:v>8.0563900000000004</c:v>
                </c:pt>
                <c:pt idx="8">
                  <c:v>0.79715000000000003</c:v>
                </c:pt>
                <c:pt idx="9">
                  <c:v>8.0905100000000001</c:v>
                </c:pt>
                <c:pt idx="10">
                  <c:v>8.0234199999999998</c:v>
                </c:pt>
                <c:pt idx="11">
                  <c:v>8.1476699999999997</c:v>
                </c:pt>
                <c:pt idx="12">
                  <c:v>8.1689600000000002</c:v>
                </c:pt>
                <c:pt idx="13">
                  <c:v>8.3226399999999998</c:v>
                </c:pt>
                <c:pt idx="14">
                  <c:v>0.82221</c:v>
                </c:pt>
                <c:pt idx="15">
                  <c:v>8.3247599999999995</c:v>
                </c:pt>
                <c:pt idx="16">
                  <c:v>8.2368299999999994</c:v>
                </c:pt>
                <c:pt idx="17">
                  <c:v>8.3061699999999998</c:v>
                </c:pt>
                <c:pt idx="18">
                  <c:v>8.5331600000000005</c:v>
                </c:pt>
                <c:pt idx="19">
                  <c:v>8.5983599999999996</c:v>
                </c:pt>
                <c:pt idx="20">
                  <c:v>8.5658200000000004</c:v>
                </c:pt>
                <c:pt idx="21">
                  <c:v>8.46983</c:v>
                </c:pt>
                <c:pt idx="22">
                  <c:v>8.3940199999999994</c:v>
                </c:pt>
                <c:pt idx="23">
                  <c:v>8.1965299999999992</c:v>
                </c:pt>
                <c:pt idx="24">
                  <c:v>7.9207400000000003</c:v>
                </c:pt>
                <c:pt idx="25">
                  <c:v>7.7634600000000002</c:v>
                </c:pt>
                <c:pt idx="26">
                  <c:v>7.6410600000000004</c:v>
                </c:pt>
                <c:pt idx="27">
                  <c:v>7.6329999999999995E-2</c:v>
                </c:pt>
                <c:pt idx="28">
                  <c:v>7.2269300000000003</c:v>
                </c:pt>
                <c:pt idx="29">
                  <c:v>7.0959899999999996</c:v>
                </c:pt>
                <c:pt idx="30">
                  <c:v>6.7622799999999996</c:v>
                </c:pt>
                <c:pt idx="31">
                  <c:v>6.6862500000000002</c:v>
                </c:pt>
                <c:pt idx="32">
                  <c:v>6.9164899999999996</c:v>
                </c:pt>
                <c:pt idx="33">
                  <c:v>6.9586600000000001</c:v>
                </c:pt>
                <c:pt idx="34">
                  <c:v>0.68269000000000002</c:v>
                </c:pt>
                <c:pt idx="35">
                  <c:v>7.0625499999999999</c:v>
                </c:pt>
                <c:pt idx="36">
                  <c:v>7.1462199999999996</c:v>
                </c:pt>
                <c:pt idx="37">
                  <c:v>7.1345700000000001</c:v>
                </c:pt>
                <c:pt idx="38">
                  <c:v>6.8397800000000002</c:v>
                </c:pt>
              </c:numCache>
            </c:numRef>
          </c:val>
          <c:smooth val="0"/>
          <c:extLst>
            <c:ext xmlns:c16="http://schemas.microsoft.com/office/drawing/2014/chart" uri="{C3380CC4-5D6E-409C-BE32-E72D297353CC}">
              <c16:uniqueId val="{00000000-80E3-4112-B6BC-D6F4757E4564}"/>
            </c:ext>
          </c:extLst>
        </c:ser>
        <c:dLbls>
          <c:showLegendKey val="0"/>
          <c:showVal val="0"/>
          <c:showCatName val="0"/>
          <c:showSerName val="0"/>
          <c:showPercent val="0"/>
          <c:showBubbleSize val="0"/>
        </c:dLbls>
        <c:smooth val="0"/>
        <c:axId val="2122011720"/>
        <c:axId val="2121779176"/>
      </c:lineChart>
      <c:dateAx>
        <c:axId val="2122011720"/>
        <c:scaling>
          <c:orientation val="minMax"/>
        </c:scaling>
        <c:delete val="0"/>
        <c:axPos val="b"/>
        <c:numFmt formatCode="mmm\-yy" sourceLinked="1"/>
        <c:majorTickMark val="out"/>
        <c:minorTickMark val="none"/>
        <c:tickLblPos val="nextTo"/>
        <c:crossAx val="2121779176"/>
        <c:crosses val="autoZero"/>
        <c:auto val="1"/>
        <c:lblOffset val="100"/>
        <c:baseTimeUnit val="months"/>
      </c:dateAx>
      <c:valAx>
        <c:axId val="2121779176"/>
        <c:scaling>
          <c:orientation val="minMax"/>
        </c:scaling>
        <c:delete val="0"/>
        <c:axPos val="l"/>
        <c:majorGridlines/>
        <c:numFmt formatCode="0.000" sourceLinked="1"/>
        <c:majorTickMark val="out"/>
        <c:minorTickMark val="none"/>
        <c:tickLblPos val="nextTo"/>
        <c:crossAx val="21220117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'Currency Rates'!$A$91</c:f>
              <c:strCache>
                <c:ptCount val="1"/>
                <c:pt idx="0">
                  <c:v>Euro/CHF Monthly average</c:v>
                </c:pt>
              </c:strCache>
            </c:strRef>
          </c:tx>
          <c:marker>
            <c:symbol val="none"/>
          </c:marker>
          <c:cat>
            <c:numRef>
              <c:f>'Currency Rates'!$A$93:$A$131</c:f>
              <c:numCache>
                <c:formatCode>mmm\-yy</c:formatCode>
                <c:ptCount val="39"/>
                <c:pt idx="0">
                  <c:v>41153</c:v>
                </c:pt>
                <c:pt idx="1">
                  <c:v>41183</c:v>
                </c:pt>
                <c:pt idx="2">
                  <c:v>41214</c:v>
                </c:pt>
                <c:pt idx="3">
                  <c:v>41244</c:v>
                </c:pt>
                <c:pt idx="4">
                  <c:v>41275</c:v>
                </c:pt>
                <c:pt idx="5">
                  <c:v>41306</c:v>
                </c:pt>
                <c:pt idx="6">
                  <c:v>41334</c:v>
                </c:pt>
                <c:pt idx="7">
                  <c:v>41365</c:v>
                </c:pt>
                <c:pt idx="8">
                  <c:v>41395</c:v>
                </c:pt>
                <c:pt idx="9">
                  <c:v>41426</c:v>
                </c:pt>
                <c:pt idx="10">
                  <c:v>41456</c:v>
                </c:pt>
                <c:pt idx="11">
                  <c:v>41487</c:v>
                </c:pt>
                <c:pt idx="12">
                  <c:v>41518</c:v>
                </c:pt>
                <c:pt idx="13">
                  <c:v>41548</c:v>
                </c:pt>
                <c:pt idx="14">
                  <c:v>41579</c:v>
                </c:pt>
                <c:pt idx="15">
                  <c:v>41609</c:v>
                </c:pt>
                <c:pt idx="16">
                  <c:v>41640</c:v>
                </c:pt>
                <c:pt idx="17">
                  <c:v>41671</c:v>
                </c:pt>
                <c:pt idx="18">
                  <c:v>41699</c:v>
                </c:pt>
                <c:pt idx="19">
                  <c:v>41730</c:v>
                </c:pt>
                <c:pt idx="20">
                  <c:v>41760</c:v>
                </c:pt>
                <c:pt idx="21">
                  <c:v>41791</c:v>
                </c:pt>
                <c:pt idx="22">
                  <c:v>41821</c:v>
                </c:pt>
                <c:pt idx="23">
                  <c:v>41852</c:v>
                </c:pt>
                <c:pt idx="24">
                  <c:v>41883</c:v>
                </c:pt>
                <c:pt idx="25">
                  <c:v>41913</c:v>
                </c:pt>
                <c:pt idx="26">
                  <c:v>41944</c:v>
                </c:pt>
                <c:pt idx="27">
                  <c:v>41974</c:v>
                </c:pt>
                <c:pt idx="28">
                  <c:v>42005</c:v>
                </c:pt>
                <c:pt idx="29">
                  <c:v>42036</c:v>
                </c:pt>
                <c:pt idx="30">
                  <c:v>42064</c:v>
                </c:pt>
                <c:pt idx="31">
                  <c:v>42095</c:v>
                </c:pt>
                <c:pt idx="32">
                  <c:v>42125</c:v>
                </c:pt>
                <c:pt idx="33">
                  <c:v>42156</c:v>
                </c:pt>
                <c:pt idx="34">
                  <c:v>42186</c:v>
                </c:pt>
                <c:pt idx="35">
                  <c:v>42217</c:v>
                </c:pt>
                <c:pt idx="36">
                  <c:v>42248</c:v>
                </c:pt>
                <c:pt idx="37">
                  <c:v>42278</c:v>
                </c:pt>
                <c:pt idx="38">
                  <c:v>42309</c:v>
                </c:pt>
              </c:numCache>
            </c:numRef>
          </c:cat>
          <c:val>
            <c:numRef>
              <c:f>'Currency Rates'!$B$93:$B$131</c:f>
              <c:numCache>
                <c:formatCode>0.000</c:formatCode>
                <c:ptCount val="39"/>
                <c:pt idx="0">
                  <c:v>1.20886</c:v>
                </c:pt>
                <c:pt idx="1">
                  <c:v>1.2097599999999999</c:v>
                </c:pt>
                <c:pt idx="2">
                  <c:v>1.20516</c:v>
                </c:pt>
                <c:pt idx="3">
                  <c:v>1.2091099999999999</c:v>
                </c:pt>
                <c:pt idx="4">
                  <c:v>1.22878</c:v>
                </c:pt>
                <c:pt idx="5">
                  <c:v>1.2297800000000001</c:v>
                </c:pt>
                <c:pt idx="6">
                  <c:v>0.12266000000000001</c:v>
                </c:pt>
                <c:pt idx="7">
                  <c:v>1.2198899999999999</c:v>
                </c:pt>
                <c:pt idx="8">
                  <c:v>1.2418400000000001</c:v>
                </c:pt>
                <c:pt idx="9">
                  <c:v>1.2322500000000001</c:v>
                </c:pt>
                <c:pt idx="10">
                  <c:v>1.2365900000000001</c:v>
                </c:pt>
                <c:pt idx="11">
                  <c:v>1.23377</c:v>
                </c:pt>
                <c:pt idx="12">
                  <c:v>1.23383</c:v>
                </c:pt>
                <c:pt idx="13">
                  <c:v>1.2316400000000001</c:v>
                </c:pt>
                <c:pt idx="14">
                  <c:v>1.2316400000000001</c:v>
                </c:pt>
                <c:pt idx="15">
                  <c:v>1.2244600000000001</c:v>
                </c:pt>
                <c:pt idx="16">
                  <c:v>1.23169</c:v>
                </c:pt>
                <c:pt idx="17">
                  <c:v>1.2212400000000001</c:v>
                </c:pt>
                <c:pt idx="18">
                  <c:v>1.21767</c:v>
                </c:pt>
                <c:pt idx="19">
                  <c:v>1.21895</c:v>
                </c:pt>
                <c:pt idx="20">
                  <c:v>1.22044</c:v>
                </c:pt>
                <c:pt idx="21">
                  <c:v>1.21811</c:v>
                </c:pt>
                <c:pt idx="22">
                  <c:v>1.2149999999999999E-2</c:v>
                </c:pt>
                <c:pt idx="23">
                  <c:v>0.12118</c:v>
                </c:pt>
                <c:pt idx="24">
                  <c:v>1.20757</c:v>
                </c:pt>
                <c:pt idx="25">
                  <c:v>1.2078100000000001</c:v>
                </c:pt>
                <c:pt idx="26">
                  <c:v>1.2027300000000001</c:v>
                </c:pt>
                <c:pt idx="27">
                  <c:v>1.2025699999999999</c:v>
                </c:pt>
                <c:pt idx="28">
                  <c:v>1.09405</c:v>
                </c:pt>
                <c:pt idx="29">
                  <c:v>1.0618399999999999</c:v>
                </c:pt>
                <c:pt idx="30">
                  <c:v>1.06081</c:v>
                </c:pt>
                <c:pt idx="31">
                  <c:v>1.0379400000000001</c:v>
                </c:pt>
                <c:pt idx="32">
                  <c:v>1.0391300000000001</c:v>
                </c:pt>
                <c:pt idx="33">
                  <c:v>1.04548</c:v>
                </c:pt>
                <c:pt idx="34">
                  <c:v>1.04918</c:v>
                </c:pt>
                <c:pt idx="35">
                  <c:v>0.10777</c:v>
                </c:pt>
                <c:pt idx="36">
                  <c:v>1.0912900000000001</c:v>
                </c:pt>
                <c:pt idx="37">
                  <c:v>1.08823</c:v>
                </c:pt>
                <c:pt idx="38">
                  <c:v>1.0832900000000001</c:v>
                </c:pt>
              </c:numCache>
            </c:numRef>
          </c:val>
          <c:smooth val="0"/>
          <c:extLst>
            <c:ext xmlns:c16="http://schemas.microsoft.com/office/drawing/2014/chart" uri="{C3380CC4-5D6E-409C-BE32-E72D297353CC}">
              <c16:uniqueId val="{00000000-6D2A-429D-9C38-68ED35AE0D1F}"/>
            </c:ext>
          </c:extLst>
        </c:ser>
        <c:dLbls>
          <c:showLegendKey val="0"/>
          <c:showVal val="0"/>
          <c:showCatName val="0"/>
          <c:showSerName val="0"/>
          <c:showPercent val="0"/>
          <c:showBubbleSize val="0"/>
        </c:dLbls>
        <c:smooth val="0"/>
        <c:axId val="2121502424"/>
        <c:axId val="2121449736"/>
      </c:lineChart>
      <c:dateAx>
        <c:axId val="2121502424"/>
        <c:scaling>
          <c:orientation val="minMax"/>
        </c:scaling>
        <c:delete val="0"/>
        <c:axPos val="b"/>
        <c:numFmt formatCode="mmm\-yy" sourceLinked="1"/>
        <c:majorTickMark val="out"/>
        <c:minorTickMark val="none"/>
        <c:tickLblPos val="nextTo"/>
        <c:crossAx val="2121449736"/>
        <c:crosses val="autoZero"/>
        <c:auto val="1"/>
        <c:lblOffset val="100"/>
        <c:baseTimeUnit val="months"/>
      </c:dateAx>
      <c:valAx>
        <c:axId val="2121449736"/>
        <c:scaling>
          <c:orientation val="minMax"/>
        </c:scaling>
        <c:delete val="0"/>
        <c:axPos val="l"/>
        <c:majorGridlines/>
        <c:numFmt formatCode="0.000" sourceLinked="1"/>
        <c:majorTickMark val="out"/>
        <c:minorTickMark val="none"/>
        <c:tickLblPos val="nextTo"/>
        <c:crossAx val="21215024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DD0806"/>
                </a:solidFill>
                <a:latin typeface="Arial"/>
                <a:ea typeface="Arial"/>
                <a:cs typeface="Arial"/>
              </a:defRPr>
            </a:pPr>
            <a:r>
              <a:t>performance under the variation of the expected growth rate</a:t>
            </a:r>
          </a:p>
        </c:rich>
      </c:tx>
      <c:layout>
        <c:manualLayout>
          <c:xMode val="edge"/>
          <c:yMode val="edge"/>
          <c:x val="0.184538941560876"/>
          <c:y val="3.7814960629921401E-2"/>
        </c:manualLayout>
      </c:layout>
      <c:overlay val="0"/>
      <c:spPr>
        <a:noFill/>
        <a:ln w="25400">
          <a:noFill/>
        </a:ln>
      </c:spPr>
    </c:title>
    <c:autoTitleDeleted val="0"/>
    <c:plotArea>
      <c:layout>
        <c:manualLayout>
          <c:layoutTarget val="inner"/>
          <c:xMode val="edge"/>
          <c:yMode val="edge"/>
          <c:x val="0.162043911128472"/>
          <c:y val="0.161849939388123"/>
          <c:w val="0.77810274442770899"/>
          <c:h val="0.69075241988859903"/>
        </c:manualLayout>
      </c:layout>
      <c:lineChart>
        <c:grouping val="standard"/>
        <c:varyColors val="0"/>
        <c:ser>
          <c:idx val="0"/>
          <c:order val="0"/>
          <c:tx>
            <c:strRef>
              <c:f>'Dividend growth'!$C$18</c:f>
              <c:strCache>
                <c:ptCount val="1"/>
                <c:pt idx="0">
                  <c:v>value of the shares</c:v>
                </c:pt>
              </c:strCache>
            </c:strRef>
          </c:tx>
          <c:spPr>
            <a:ln w="12700">
              <a:solidFill>
                <a:srgbClr val="000090"/>
              </a:solidFill>
              <a:prstDash val="solid"/>
            </a:ln>
          </c:spPr>
          <c:marker>
            <c:symbol val="diamond"/>
            <c:size val="5"/>
            <c:spPr>
              <a:solidFill>
                <a:srgbClr val="000080"/>
              </a:solidFill>
              <a:ln>
                <a:solidFill>
                  <a:srgbClr val="000080"/>
                </a:solidFill>
                <a:prstDash val="solid"/>
              </a:ln>
            </c:spPr>
          </c:marker>
          <c:cat>
            <c:numRef>
              <c:f>'Dividend growth'!$B$19:$B$27</c:f>
              <c:numCache>
                <c:formatCode>0%</c:formatCode>
                <c:ptCount val="9"/>
                <c:pt idx="0">
                  <c:v>0.08</c:v>
                </c:pt>
                <c:pt idx="1">
                  <c:v>7.0000000000000007E-2</c:v>
                </c:pt>
                <c:pt idx="2">
                  <c:v>0.06</c:v>
                </c:pt>
                <c:pt idx="3">
                  <c:v>0.05</c:v>
                </c:pt>
                <c:pt idx="4">
                  <c:v>0.04</c:v>
                </c:pt>
                <c:pt idx="5">
                  <c:v>0.03</c:v>
                </c:pt>
                <c:pt idx="6">
                  <c:v>0.02</c:v>
                </c:pt>
                <c:pt idx="7">
                  <c:v>0.01</c:v>
                </c:pt>
                <c:pt idx="8">
                  <c:v>0</c:v>
                </c:pt>
              </c:numCache>
            </c:numRef>
          </c:cat>
          <c:val>
            <c:numRef>
              <c:f>'Dividend growth'!$C$19:$C$27</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46A5-461C-AC23-24AE3988CED2}"/>
            </c:ext>
          </c:extLst>
        </c:ser>
        <c:dLbls>
          <c:showLegendKey val="0"/>
          <c:showVal val="0"/>
          <c:showCatName val="0"/>
          <c:showSerName val="0"/>
          <c:showPercent val="0"/>
          <c:showBubbleSize val="0"/>
        </c:dLbls>
        <c:marker val="1"/>
        <c:smooth val="0"/>
        <c:axId val="2122020712"/>
        <c:axId val="2121996408"/>
      </c:lineChart>
      <c:catAx>
        <c:axId val="2122020712"/>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it-IT"/>
          </a:p>
        </c:txPr>
        <c:crossAx val="2121996408"/>
        <c:crosses val="autoZero"/>
        <c:auto val="0"/>
        <c:lblAlgn val="ctr"/>
        <c:lblOffset val="100"/>
        <c:tickLblSkip val="2"/>
        <c:tickMarkSkip val="1"/>
        <c:noMultiLvlLbl val="0"/>
      </c:catAx>
      <c:valAx>
        <c:axId val="2121996408"/>
        <c:scaling>
          <c:orientation val="minMax"/>
          <c:max val="100"/>
        </c:scaling>
        <c:delete val="0"/>
        <c:axPos val="l"/>
        <c:numFmt formatCode="\€\ #,##0.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it-IT"/>
          </a:p>
        </c:txPr>
        <c:crossAx val="2122020712"/>
        <c:crosses val="autoZero"/>
        <c:crossBetween val="midCat"/>
      </c:valAx>
      <c:spPr>
        <a:gradFill rotWithShape="0">
          <a:gsLst>
            <a:gs pos="0">
              <a:srgbClr val="FFFFFF"/>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it-IT"/>
    </a:p>
  </c:txPr>
  <c:printSettings>
    <c:headerFooter/>
    <c:pageMargins b="1" l="0.750000000000004" r="0.75000000000000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image" Target="../media/image4.gif"/></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en.wikipedia.org/wiki/Business_Plan"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en.wikipedia.org/wiki/Break-even"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1041400</xdr:colOff>
      <xdr:row>21</xdr:row>
      <xdr:rowOff>50800</xdr:rowOff>
    </xdr:from>
    <xdr:to>
      <xdr:col>7</xdr:col>
      <xdr:colOff>241300</xdr:colOff>
      <xdr:row>40</xdr:row>
      <xdr:rowOff>127000</xdr:rowOff>
    </xdr:to>
    <xdr:pic>
      <xdr:nvPicPr>
        <xdr:cNvPr id="458910" name="Picture 3">
          <a:extLst>
            <a:ext uri="{FF2B5EF4-FFF2-40B4-BE49-F238E27FC236}">
              <a16:creationId xmlns:a16="http://schemas.microsoft.com/office/drawing/2014/main" id="{00000000-0008-0000-0000-00009E0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3886200"/>
          <a:ext cx="5511800" cy="3200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63500</xdr:colOff>
      <xdr:row>55</xdr:row>
      <xdr:rowOff>101600</xdr:rowOff>
    </xdr:from>
    <xdr:to>
      <xdr:col>7</xdr:col>
      <xdr:colOff>228600</xdr:colOff>
      <xdr:row>60</xdr:row>
      <xdr:rowOff>152400</xdr:rowOff>
    </xdr:to>
    <xdr:sp macro="" textlink="">
      <xdr:nvSpPr>
        <xdr:cNvPr id="458895" name="CasellaDiTesto 4">
          <a:extLst>
            <a:ext uri="{FF2B5EF4-FFF2-40B4-BE49-F238E27FC236}">
              <a16:creationId xmlns:a16="http://schemas.microsoft.com/office/drawing/2014/main" id="{00000000-0008-0000-0000-00008F000700}"/>
            </a:ext>
          </a:extLst>
        </xdr:cNvPr>
        <xdr:cNvSpPr txBox="1">
          <a:spLocks noChangeArrowheads="1"/>
        </xdr:cNvSpPr>
      </xdr:nvSpPr>
      <xdr:spPr bwMode="auto">
        <a:xfrm>
          <a:off x="63500" y="9550400"/>
          <a:ext cx="11112500" cy="876300"/>
        </a:xfrm>
        <a:prstGeom prst="rect">
          <a:avLst/>
        </a:prstGeom>
        <a:solidFill>
          <a:srgbClr val="B7DEE8"/>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45720" tIns="50292" rIns="45720" bIns="0" anchor="t" upright="1"/>
        <a:lstStyle/>
        <a:p>
          <a:pPr algn="just" rtl="0">
            <a:defRPr sz="1000"/>
          </a:pPr>
          <a:r>
            <a:rPr lang="it-IT" sz="1200" b="0" i="0" u="none" strike="noStrike" baseline="0">
              <a:solidFill>
                <a:srgbClr val="000000"/>
              </a:solidFill>
              <a:latin typeface="Calibri"/>
              <a:ea typeface="Calibri"/>
              <a:cs typeface="Calibri"/>
            </a:rPr>
            <a:t>The spreadsheet is divided into two main parts: </a:t>
          </a:r>
        </a:p>
        <a:p>
          <a:pPr algn="just" rtl="0">
            <a:defRPr sz="1000"/>
          </a:pPr>
          <a:r>
            <a:rPr lang="it-IT" sz="1200" b="0" i="0" u="none" strike="noStrike" baseline="0">
              <a:solidFill>
                <a:srgbClr val="000000"/>
              </a:solidFill>
              <a:latin typeface="Calibri"/>
              <a:ea typeface="Calibri"/>
              <a:cs typeface="Calibri"/>
            </a:rPr>
            <a:t>1. the first part, consisting of the income statement and balance sheet, is the data entry of the tool. The data included in these pages will then be automatically shown in the following sections. </a:t>
          </a:r>
        </a:p>
        <a:p>
          <a:pPr algn="just" rtl="0">
            <a:defRPr sz="1000"/>
          </a:pPr>
          <a:r>
            <a:rPr lang="it-IT" sz="1200" b="0" i="0" u="none" strike="noStrike" baseline="0">
              <a:solidFill>
                <a:srgbClr val="000000"/>
              </a:solidFill>
              <a:latin typeface="Calibri"/>
              <a:ea typeface="Calibri"/>
              <a:cs typeface="Calibri"/>
            </a:rPr>
            <a:t>2.The second part concerns the analysis itself: variance analysis, cash flow, financial ratios, etc..</a:t>
          </a:r>
        </a:p>
      </xdr:txBody>
    </xdr:sp>
    <xdr:clientData/>
  </xdr:twoCellAnchor>
  <xdr:twoCellAnchor>
    <xdr:from>
      <xdr:col>1</xdr:col>
      <xdr:colOff>1498600</xdr:colOff>
      <xdr:row>3</xdr:row>
      <xdr:rowOff>76200</xdr:rowOff>
    </xdr:from>
    <xdr:to>
      <xdr:col>2</xdr:col>
      <xdr:colOff>673100</xdr:colOff>
      <xdr:row>8</xdr:row>
      <xdr:rowOff>50800</xdr:rowOff>
    </xdr:to>
    <xdr:cxnSp macro="">
      <xdr:nvCxnSpPr>
        <xdr:cNvPr id="458896" name="Connettore 2 5">
          <a:extLst>
            <a:ext uri="{FF2B5EF4-FFF2-40B4-BE49-F238E27FC236}">
              <a16:creationId xmlns:a16="http://schemas.microsoft.com/office/drawing/2014/main" id="{00000000-0008-0000-0000-000090000700}"/>
            </a:ext>
          </a:extLst>
        </xdr:cNvPr>
        <xdr:cNvCxnSpPr>
          <a:cxnSpLocks noChangeShapeType="1"/>
        </xdr:cNvCxnSpPr>
      </xdr:nvCxnSpPr>
      <xdr:spPr bwMode="auto">
        <a:xfrm flipH="1" flipV="1">
          <a:off x="1892300" y="812800"/>
          <a:ext cx="1892300" cy="812800"/>
        </a:xfrm>
        <a:prstGeom prst="straightConnector1">
          <a:avLst/>
        </a:prstGeom>
        <a:noFill/>
        <a:ln w="25400">
          <a:solidFill>
            <a:srgbClr val="4F81BD"/>
          </a:solidFill>
          <a:round/>
          <a:headEnd/>
          <a:tailEnd type="arrow" w="med" len="med"/>
        </a:ln>
        <a:effectLst>
          <a:outerShdw blurRad="63500" dist="20000" dir="5400000" rotWithShape="0">
            <a:srgbClr val="000000">
              <a:alpha val="37999"/>
            </a:srgbClr>
          </a:outerShdw>
        </a:effectLst>
        <a:extLst>
          <a:ext uri="{909E8E84-426E-40dd-AFC4-6F175D3DCCD1}">
            <a14:hiddenFill xmlns:a14="http://schemas.microsoft.com/office/drawing/2010/main" xmlns="">
              <a:noFill/>
            </a14:hiddenFill>
          </a:ext>
        </a:extLst>
      </xdr:spPr>
    </xdr:cxnSp>
    <xdr:clientData/>
  </xdr:twoCellAnchor>
  <xdr:twoCellAnchor>
    <xdr:from>
      <xdr:col>4</xdr:col>
      <xdr:colOff>2565400</xdr:colOff>
      <xdr:row>3</xdr:row>
      <xdr:rowOff>152400</xdr:rowOff>
    </xdr:from>
    <xdr:to>
      <xdr:col>4</xdr:col>
      <xdr:colOff>3213100</xdr:colOff>
      <xdr:row>8</xdr:row>
      <xdr:rowOff>12700</xdr:rowOff>
    </xdr:to>
    <xdr:cxnSp macro="">
      <xdr:nvCxnSpPr>
        <xdr:cNvPr id="458897" name="Connettore 2 10">
          <a:extLst>
            <a:ext uri="{FF2B5EF4-FFF2-40B4-BE49-F238E27FC236}">
              <a16:creationId xmlns:a16="http://schemas.microsoft.com/office/drawing/2014/main" id="{00000000-0008-0000-0000-000091000700}"/>
            </a:ext>
          </a:extLst>
        </xdr:cNvPr>
        <xdr:cNvCxnSpPr>
          <a:cxnSpLocks noChangeShapeType="1"/>
        </xdr:cNvCxnSpPr>
      </xdr:nvCxnSpPr>
      <xdr:spPr bwMode="auto">
        <a:xfrm flipH="1" flipV="1">
          <a:off x="8724900" y="889000"/>
          <a:ext cx="647700" cy="698500"/>
        </a:xfrm>
        <a:prstGeom prst="straightConnector1">
          <a:avLst/>
        </a:prstGeom>
        <a:noFill/>
        <a:ln w="25400">
          <a:solidFill>
            <a:srgbClr val="4F81BD"/>
          </a:solidFill>
          <a:round/>
          <a:headEnd/>
          <a:tailEnd type="arrow" w="med" len="med"/>
        </a:ln>
        <a:effectLst>
          <a:outerShdw blurRad="63500" dist="20000" dir="5400000" rotWithShape="0">
            <a:srgbClr val="000000">
              <a:alpha val="37999"/>
            </a:srgbClr>
          </a:outerShdw>
        </a:effectLst>
        <a:extLst>
          <a:ext uri="{909E8E84-426E-40dd-AFC4-6F175D3DCCD1}">
            <a14:hiddenFill xmlns:a14="http://schemas.microsoft.com/office/drawing/2010/main" xmlns="">
              <a:noFill/>
            </a14:hiddenFill>
          </a:ext>
        </a:extLst>
      </xdr:spPr>
    </xdr:cxnSp>
    <xdr:clientData/>
  </xdr:twoCellAnchor>
  <xdr:twoCellAnchor>
    <xdr:from>
      <xdr:col>2</xdr:col>
      <xdr:colOff>1231900</xdr:colOff>
      <xdr:row>49</xdr:row>
      <xdr:rowOff>38100</xdr:rowOff>
    </xdr:from>
    <xdr:to>
      <xdr:col>4</xdr:col>
      <xdr:colOff>1727200</xdr:colOff>
      <xdr:row>51</xdr:row>
      <xdr:rowOff>139700</xdr:rowOff>
    </xdr:to>
    <xdr:sp macro="" textlink="">
      <xdr:nvSpPr>
        <xdr:cNvPr id="458898" name="CasellaDiTesto 12">
          <a:extLst>
            <a:ext uri="{FF2B5EF4-FFF2-40B4-BE49-F238E27FC236}">
              <a16:creationId xmlns:a16="http://schemas.microsoft.com/office/drawing/2014/main" id="{00000000-0008-0000-0000-000092000700}"/>
            </a:ext>
          </a:extLst>
        </xdr:cNvPr>
        <xdr:cNvSpPr txBox="1">
          <a:spLocks noChangeArrowheads="1"/>
        </xdr:cNvSpPr>
      </xdr:nvSpPr>
      <xdr:spPr bwMode="auto">
        <a:xfrm>
          <a:off x="4343400" y="8483600"/>
          <a:ext cx="3543300" cy="431800"/>
        </a:xfrm>
        <a:prstGeom prst="rect">
          <a:avLst/>
        </a:prstGeom>
        <a:solidFill>
          <a:srgbClr val="FFFF99"/>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36576" tIns="36576" rIns="36576" bIns="0" anchor="t" upright="1"/>
        <a:lstStyle/>
        <a:p>
          <a:pPr algn="ctr" rtl="0">
            <a:defRPr sz="1000"/>
          </a:pPr>
          <a:r>
            <a:rPr lang="it-IT" sz="1200" b="0" i="0" u="none" strike="noStrike" baseline="0">
              <a:solidFill>
                <a:srgbClr val="000000"/>
              </a:solidFill>
              <a:latin typeface="Calibri"/>
              <a:ea typeface="Calibri"/>
              <a:cs typeface="Calibri"/>
            </a:rPr>
            <a:t>3. Use the main menu to move along the contents</a:t>
          </a:r>
        </a:p>
      </xdr:txBody>
    </xdr:sp>
    <xdr:clientData/>
  </xdr:twoCellAnchor>
  <xdr:twoCellAnchor>
    <xdr:from>
      <xdr:col>1</xdr:col>
      <xdr:colOff>2184400</xdr:colOff>
      <xdr:row>28</xdr:row>
      <xdr:rowOff>38100</xdr:rowOff>
    </xdr:from>
    <xdr:to>
      <xdr:col>3</xdr:col>
      <xdr:colOff>1485900</xdr:colOff>
      <xdr:row>49</xdr:row>
      <xdr:rowOff>38100</xdr:rowOff>
    </xdr:to>
    <xdr:cxnSp macro="">
      <xdr:nvCxnSpPr>
        <xdr:cNvPr id="458899" name="Connettore 2 13">
          <a:extLst>
            <a:ext uri="{FF2B5EF4-FFF2-40B4-BE49-F238E27FC236}">
              <a16:creationId xmlns:a16="http://schemas.microsoft.com/office/drawing/2014/main" id="{00000000-0008-0000-0000-000093000700}"/>
            </a:ext>
          </a:extLst>
        </xdr:cNvPr>
        <xdr:cNvCxnSpPr>
          <a:cxnSpLocks noChangeShapeType="1"/>
          <a:stCxn id="458898" idx="0"/>
        </xdr:cNvCxnSpPr>
      </xdr:nvCxnSpPr>
      <xdr:spPr bwMode="auto">
        <a:xfrm flipH="1" flipV="1">
          <a:off x="2578100" y="5016500"/>
          <a:ext cx="3543300" cy="3467100"/>
        </a:xfrm>
        <a:prstGeom prst="straightConnector1">
          <a:avLst/>
        </a:prstGeom>
        <a:noFill/>
        <a:ln w="25400">
          <a:solidFill>
            <a:srgbClr val="4F81BD"/>
          </a:solidFill>
          <a:round/>
          <a:headEnd/>
          <a:tailEnd type="arrow" w="med" len="med"/>
        </a:ln>
        <a:effectLst>
          <a:outerShdw blurRad="63500" dist="20000" dir="5400000" rotWithShape="0">
            <a:srgbClr val="000000">
              <a:alpha val="37999"/>
            </a:srgbClr>
          </a:outerShdw>
        </a:effectLst>
        <a:extLst>
          <a:ext uri="{909E8E84-426E-40dd-AFC4-6F175D3DCCD1}">
            <a14:hiddenFill xmlns:a14="http://schemas.microsoft.com/office/drawing/2010/main" xmlns="">
              <a:noFill/>
            </a14:hiddenFill>
          </a:ext>
        </a:extLst>
      </xdr:spPr>
    </xdr:cxnSp>
    <xdr:clientData/>
  </xdr:twoCellAnchor>
  <xdr:oneCellAnchor>
    <xdr:from>
      <xdr:col>4</xdr:col>
      <xdr:colOff>1917700</xdr:colOff>
      <xdr:row>7</xdr:row>
      <xdr:rowOff>92075</xdr:rowOff>
    </xdr:from>
    <xdr:ext cx="2546490" cy="276999"/>
    <xdr:sp macro="" textlink="">
      <xdr:nvSpPr>
        <xdr:cNvPr id="9" name="CasellaDiTesto 8">
          <a:extLst>
            <a:ext uri="{FF2B5EF4-FFF2-40B4-BE49-F238E27FC236}">
              <a16:creationId xmlns:a16="http://schemas.microsoft.com/office/drawing/2014/main" id="{00000000-0008-0000-0000-000009000000}"/>
            </a:ext>
          </a:extLst>
        </xdr:cNvPr>
        <xdr:cNvSpPr txBox="1"/>
      </xdr:nvSpPr>
      <xdr:spPr>
        <a:xfrm>
          <a:off x="8084256" y="1517297"/>
          <a:ext cx="2546490" cy="276999"/>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it-IT" sz="1200" b="0" i="0" u="none" strike="noStrike" baseline="0">
              <a:solidFill>
                <a:srgbClr val="000000"/>
              </a:solidFill>
              <a:latin typeface="Calibri"/>
              <a:ea typeface="Calibri"/>
              <a:cs typeface="Calibri"/>
            </a:rPr>
            <a:t>2. Insert the Company's Logo/website</a:t>
          </a:r>
        </a:p>
      </xdr:txBody>
    </xdr:sp>
    <xdr:clientData/>
  </xdr:oneCellAnchor>
  <xdr:twoCellAnchor editAs="oneCell">
    <xdr:from>
      <xdr:col>1</xdr:col>
      <xdr:colOff>2384425</xdr:colOff>
      <xdr:row>8</xdr:row>
      <xdr:rowOff>114300</xdr:rowOff>
    </xdr:from>
    <xdr:to>
      <xdr:col>4</xdr:col>
      <xdr:colOff>107775</xdr:colOff>
      <xdr:row>10</xdr:row>
      <xdr:rowOff>50800</xdr:rowOff>
    </xdr:to>
    <xdr:sp macro="" textlink="">
      <xdr:nvSpPr>
        <xdr:cNvPr id="101921" name="CasellaDiTesto 20">
          <a:extLst>
            <a:ext uri="{FF2B5EF4-FFF2-40B4-BE49-F238E27FC236}">
              <a16:creationId xmlns:a16="http://schemas.microsoft.com/office/drawing/2014/main" id="{00000000-0008-0000-0000-0000218E0100}"/>
            </a:ext>
          </a:extLst>
        </xdr:cNvPr>
        <xdr:cNvSpPr txBox="1">
          <a:spLocks noChangeArrowheads="1"/>
        </xdr:cNvSpPr>
      </xdr:nvSpPr>
      <xdr:spPr bwMode="auto">
        <a:xfrm>
          <a:off x="2781300" y="1689100"/>
          <a:ext cx="3479800" cy="266700"/>
        </a:xfrm>
        <a:prstGeom prst="rect">
          <a:avLst/>
        </a:prstGeom>
        <a:solidFill>
          <a:srgbClr val="EBF1DE"/>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27432" tIns="22860" rIns="0" bIns="0" anchor="t" upright="1"/>
        <a:lstStyle/>
        <a:p>
          <a:pPr algn="l" rtl="0">
            <a:defRPr sz="1000"/>
          </a:pPr>
          <a:r>
            <a:rPr lang="it-IT" sz="1200" b="0" i="0" u="none" strike="noStrike" baseline="0">
              <a:solidFill>
                <a:srgbClr val="000000"/>
              </a:solidFill>
              <a:latin typeface="Calibri"/>
              <a:ea typeface="Calibri"/>
              <a:cs typeface="Calibri"/>
            </a:rPr>
            <a:t>1. Insert the Company's name</a:t>
          </a:r>
        </a:p>
        <a:p>
          <a:pPr algn="l" rtl="0">
            <a:lnSpc>
              <a:spcPts val="1400"/>
            </a:lnSpc>
            <a:defRPr sz="1000"/>
          </a:pPr>
          <a:endParaRPr lang="it-IT" sz="1200" b="0" i="0" u="none" strike="noStrike" baseline="0">
            <a:solidFill>
              <a:srgbClr val="000000"/>
            </a:solidFill>
            <a:latin typeface="Calibri"/>
            <a:ea typeface="Calibri"/>
            <a:cs typeface="Calibr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2988</xdr:colOff>
      <xdr:row>7</xdr:row>
      <xdr:rowOff>25399</xdr:rowOff>
    </xdr:from>
    <xdr:to>
      <xdr:col>8</xdr:col>
      <xdr:colOff>2988</xdr:colOff>
      <xdr:row>18</xdr:row>
      <xdr:rowOff>0</xdr:rowOff>
    </xdr:to>
    <xdr:sp macro="" textlink="">
      <xdr:nvSpPr>
        <xdr:cNvPr id="2" name="CasellaDiTesto 1">
          <a:extLst>
            <a:ext uri="{FF2B5EF4-FFF2-40B4-BE49-F238E27FC236}">
              <a16:creationId xmlns:a16="http://schemas.microsoft.com/office/drawing/2014/main" id="{00000000-0008-0000-0F00-000002000000}"/>
            </a:ext>
          </a:extLst>
        </xdr:cNvPr>
        <xdr:cNvSpPr txBox="1"/>
      </xdr:nvSpPr>
      <xdr:spPr>
        <a:xfrm>
          <a:off x="13540441" y="7394387"/>
          <a:ext cx="2891865" cy="2472018"/>
        </a:xfrm>
        <a:prstGeom prst="rect">
          <a:avLst/>
        </a:prstGeom>
        <a:solidFill>
          <a:srgbClr val="FEFFB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rtl="0">
            <a:defRPr sz="1000"/>
          </a:pPr>
          <a:r>
            <a:rPr lang="it-IT" sz="1100" b="0" i="0" u="none" strike="noStrike" baseline="0">
              <a:solidFill>
                <a:srgbClr val="000000"/>
              </a:solidFill>
              <a:latin typeface="Calibri"/>
              <a:cs typeface="Calibri"/>
            </a:rPr>
            <a:t>The operating leverage is a measure of how revenue growth transaletes into growth in operating income. </a:t>
          </a:r>
        </a:p>
        <a:p>
          <a:pPr algn="just" rtl="0">
            <a:defRPr sz="1000"/>
          </a:pPr>
          <a:r>
            <a:rPr lang="it-IT" sz="1100" b="0" i="0" u="none" strike="noStrike" baseline="0">
              <a:solidFill>
                <a:srgbClr val="000000"/>
              </a:solidFill>
              <a:latin typeface="Calibri"/>
              <a:cs typeface="Calibri"/>
            </a:rPr>
            <a:t>It's referred to the percentage of fixed costs in a company's cost structure.</a:t>
          </a:r>
        </a:p>
        <a:p>
          <a:pPr algn="just" rtl="0">
            <a:defRPr sz="1000"/>
          </a:pPr>
          <a:r>
            <a:rPr lang="it-IT" sz="1100" b="0" i="0" u="none" strike="noStrike" baseline="0">
              <a:solidFill>
                <a:srgbClr val="000000"/>
              </a:solidFill>
              <a:latin typeface="Calibri"/>
              <a:cs typeface="Calibri"/>
            </a:rPr>
            <a:t>Generally, the more the Operating Leverage is high, the more a company's income is affected by fluctuation in sales volume.</a:t>
          </a:r>
        </a:p>
        <a:p>
          <a:pPr algn="just" rtl="0">
            <a:defRPr sz="1000"/>
          </a:pPr>
          <a:r>
            <a:rPr lang="it-IT" sz="1100" b="0" i="0" u="none" strike="noStrike" baseline="0">
              <a:solidFill>
                <a:srgbClr val="000000"/>
              </a:solidFill>
              <a:latin typeface="Calibri"/>
              <a:cs typeface="Calibri"/>
            </a:rPr>
            <a:t>The high income vs. sales ratio results from a low portioin of variable costs; it means the company does not have to pay high additional money for each unit produced or sold. </a:t>
          </a:r>
        </a:p>
        <a:p>
          <a:pPr algn="just" rtl="0">
            <a:defRPr sz="1000"/>
          </a:pPr>
          <a:r>
            <a:rPr lang="it-IT" sz="1100" b="0" i="0" u="none" strike="noStrike" baseline="0">
              <a:solidFill>
                <a:srgbClr val="000000"/>
              </a:solidFill>
              <a:latin typeface="Calibri"/>
              <a:cs typeface="Calibri"/>
            </a:rPr>
            <a:t>More significant is the volume of sales, more the investment in fixed costs becomes  beneficial.</a:t>
          </a:r>
        </a:p>
      </xdr:txBody>
    </xdr:sp>
    <xdr:clientData/>
  </xdr:twoCellAnchor>
  <xdr:twoCellAnchor>
    <xdr:from>
      <xdr:col>7</xdr:col>
      <xdr:colOff>19423343</xdr:colOff>
      <xdr:row>33</xdr:row>
      <xdr:rowOff>108882</xdr:rowOff>
    </xdr:from>
    <xdr:to>
      <xdr:col>8</xdr:col>
      <xdr:colOff>5060</xdr:colOff>
      <xdr:row>39</xdr:row>
      <xdr:rowOff>6726</xdr:rowOff>
    </xdr:to>
    <xdr:sp macro="" textlink="">
      <xdr:nvSpPr>
        <xdr:cNvPr id="4" name="CasellaDiTesto 3">
          <a:extLst>
            <a:ext uri="{FF2B5EF4-FFF2-40B4-BE49-F238E27FC236}">
              <a16:creationId xmlns:a16="http://schemas.microsoft.com/office/drawing/2014/main" id="{00000000-0008-0000-0F00-000004000000}"/>
            </a:ext>
          </a:extLst>
        </xdr:cNvPr>
        <xdr:cNvSpPr txBox="1"/>
      </xdr:nvSpPr>
      <xdr:spPr>
        <a:xfrm>
          <a:off x="13920694" y="13087722"/>
          <a:ext cx="2923988" cy="1406712"/>
        </a:xfrm>
        <a:prstGeom prst="rect">
          <a:avLst/>
        </a:prstGeom>
        <a:solidFill>
          <a:srgbClr val="FEFFB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it-IT" sz="1100"/>
            <a:t>For a given level of sales and profit, the DOL is higher if the fixed costs are higher too:</a:t>
          </a:r>
        </a:p>
        <a:p>
          <a:pPr algn="just"/>
          <a:r>
            <a:rPr lang="it-IT" sz="1100"/>
            <a:t>a company with high fixed costs and low variable costs has a higher contribution margin and its Operating Income increases more rapidly with Sales than a company with low fixed costs (and correspondingly lower contribution margin).</a:t>
          </a:r>
        </a:p>
      </xdr:txBody>
    </xdr:sp>
    <xdr:clientData/>
  </xdr:twoCellAnchor>
  <xdr:oneCellAnchor>
    <xdr:from>
      <xdr:col>0</xdr:col>
      <xdr:colOff>0</xdr:colOff>
      <xdr:row>42</xdr:row>
      <xdr:rowOff>0</xdr:rowOff>
    </xdr:from>
    <xdr:ext cx="11111609" cy="2834525"/>
    <xdr:sp macro="" textlink="">
      <xdr:nvSpPr>
        <xdr:cNvPr id="3" name="CasellaDiTesto 2">
          <a:extLst>
            <a:ext uri="{FF2B5EF4-FFF2-40B4-BE49-F238E27FC236}">
              <a16:creationId xmlns:a16="http://schemas.microsoft.com/office/drawing/2014/main" id="{00000000-0008-0000-0F00-000003000000}"/>
            </a:ext>
          </a:extLst>
        </xdr:cNvPr>
        <xdr:cNvSpPr txBox="1"/>
      </xdr:nvSpPr>
      <xdr:spPr>
        <a:xfrm>
          <a:off x="0" y="7239000"/>
          <a:ext cx="11010900" cy="284795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t-IT" sz="1100"/>
            <a:t>Definition of 'Operating Leverage'</a:t>
          </a:r>
        </a:p>
        <a:p>
          <a:r>
            <a:rPr lang="it-IT" sz="1100"/>
            <a:t>A measurement of the degree to which a firm or project incurs a combination of fixed and variable costs. </a:t>
          </a:r>
        </a:p>
        <a:p>
          <a:endParaRPr lang="it-IT" sz="1100"/>
        </a:p>
        <a:p>
          <a:r>
            <a:rPr lang="it-IT" sz="1100"/>
            <a:t>1. A business that makes few sales, with each sale providing a very high gross margin, is said to be highly leveraged. A business that makes many sales, with each sale contributing a very slight margin, is said to be less leveraged. As the volume of sales in a business increases, each new sale contributes less to fixed costs and more to profitability. </a:t>
          </a:r>
        </a:p>
        <a:p>
          <a:endParaRPr lang="it-IT" sz="1100"/>
        </a:p>
        <a:p>
          <a:r>
            <a:rPr lang="it-IT" sz="1100"/>
            <a:t>2. A business that has a higher proportion of fixed costs and a lower proportion of variable costs is said to have used more operating leverage. Those businesses with lower fixed costs and higher variable costs are said to employ less operating leverage.</a:t>
          </a:r>
        </a:p>
        <a:p>
          <a:endParaRPr lang="it-IT" sz="1100"/>
        </a:p>
        <a:p>
          <a:r>
            <a:rPr lang="it-IT" sz="1100"/>
            <a:t>The higher the degree of operating leverage, the greater the potential danger from forecasting risk. That is, if a relatively small error is made in forecasting sales, it can be magnified into large errors in cash flow projections. The opposite is true for businesses that are less leveraged. A business that sells millions of products a year, with each contributing slightly to paying for fixed costs, is not as dependent on each individual sale. </a:t>
          </a:r>
        </a:p>
        <a:p>
          <a:endParaRPr lang="it-IT" sz="1100"/>
        </a:p>
        <a:p>
          <a:r>
            <a:rPr lang="it-IT" sz="1100"/>
            <a:t>For example, convenience stores are significantly less leveraged than high-end car dealerships</a:t>
          </a:r>
        </a:p>
        <a:p>
          <a:endParaRPr lang="it-IT" sz="1100"/>
        </a:p>
        <a:p>
          <a:r>
            <a:rPr lang="it-IT" sz="1100"/>
            <a:t>Read more: http://www.investopedia.com/terms/o/operatingleverage.asp#ixzz2A6mczzG3</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34</xdr:row>
      <xdr:rowOff>32871</xdr:rowOff>
    </xdr:from>
    <xdr:to>
      <xdr:col>6</xdr:col>
      <xdr:colOff>79380</xdr:colOff>
      <xdr:row>42</xdr:row>
      <xdr:rowOff>111263</xdr:rowOff>
    </xdr:to>
    <xdr:sp macro="" textlink="">
      <xdr:nvSpPr>
        <xdr:cNvPr id="2" name="CasellaDiTesto 1">
          <a:extLst>
            <a:ext uri="{FF2B5EF4-FFF2-40B4-BE49-F238E27FC236}">
              <a16:creationId xmlns:a16="http://schemas.microsoft.com/office/drawing/2014/main" id="{00000000-0008-0000-1000-000002000000}"/>
            </a:ext>
          </a:extLst>
        </xdr:cNvPr>
        <xdr:cNvSpPr txBox="1"/>
      </xdr:nvSpPr>
      <xdr:spPr>
        <a:xfrm>
          <a:off x="0" y="6014571"/>
          <a:ext cx="8636000" cy="1300629"/>
        </a:xfrm>
        <a:prstGeom prst="rect">
          <a:avLst/>
        </a:prstGeom>
        <a:solidFill>
          <a:srgbClr val="FEFFB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rtl="0">
            <a:defRPr sz="1000"/>
          </a:pPr>
          <a:r>
            <a:rPr lang="it-IT" sz="1100" b="0" i="0" u="none" strike="noStrike" baseline="0">
              <a:solidFill>
                <a:srgbClr val="000000"/>
              </a:solidFill>
              <a:latin typeface="Calibri"/>
              <a:ea typeface="Calibri"/>
              <a:cs typeface="Calibri"/>
            </a:rPr>
            <a:t>A flexible structure of costs is less profitable but is best suited for unforeseen events.</a:t>
          </a:r>
        </a:p>
        <a:p>
          <a:pPr algn="just" rtl="0">
            <a:defRPr sz="1000"/>
          </a:pPr>
          <a:r>
            <a:rPr lang="it-IT" sz="1100" b="0" i="0" u="none" strike="noStrike" baseline="0">
              <a:solidFill>
                <a:srgbClr val="000000"/>
              </a:solidFill>
              <a:latin typeface="Calibri"/>
              <a:ea typeface="Calibri"/>
              <a:cs typeface="Calibri"/>
            </a:rPr>
            <a:t>The presence of high variable costs, which grow with the increase in sales, reduces EBIT and consequently the Operating Cash Flows. </a:t>
          </a:r>
        </a:p>
        <a:p>
          <a:pPr algn="just" rtl="0">
            <a:defRPr sz="1000"/>
          </a:pPr>
          <a:r>
            <a:rPr lang="it-IT" sz="1100" b="0" i="0" u="none" strike="noStrike" baseline="0">
              <a:solidFill>
                <a:srgbClr val="000000"/>
              </a:solidFill>
              <a:latin typeface="Calibri"/>
              <a:ea typeface="Calibri"/>
              <a:cs typeface="Calibri"/>
            </a:rPr>
            <a:t>A rigid structure is more profitable than a flexible structure, but it carries an increased operating risk.</a:t>
          </a:r>
        </a:p>
        <a:p>
          <a:pPr algn="just" rtl="0">
            <a:defRPr sz="1000"/>
          </a:pPr>
          <a:r>
            <a:rPr lang="it-IT" sz="1100" b="0" i="0" u="none" strike="noStrike" baseline="0">
              <a:solidFill>
                <a:srgbClr val="000000"/>
              </a:solidFill>
              <a:latin typeface="Calibri"/>
              <a:ea typeface="Calibri"/>
              <a:cs typeface="Calibri"/>
            </a:rPr>
            <a:t>The fixed costs are not linked to changes in sales volume and revenue growth:</a:t>
          </a:r>
        </a:p>
        <a:p>
          <a:pPr algn="just" rtl="0">
            <a:defRPr sz="1000"/>
          </a:pPr>
          <a:r>
            <a:rPr lang="it-IT" sz="1100" b="0" i="0" u="none" strike="noStrike" baseline="0">
              <a:solidFill>
                <a:srgbClr val="000000"/>
              </a:solidFill>
              <a:latin typeface="Calibri"/>
              <a:ea typeface="Calibri"/>
              <a:cs typeface="Calibri"/>
            </a:rPr>
            <a:t>after reaching the breakeven point, a fixed structure of costs produces more Cash Flow from core business operations than a variable strucrture.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xdr:colOff>
      <xdr:row>10</xdr:row>
      <xdr:rowOff>0</xdr:rowOff>
    </xdr:from>
    <xdr:to>
      <xdr:col>21</xdr:col>
      <xdr:colOff>0</xdr:colOff>
      <xdr:row>10</xdr:row>
      <xdr:rowOff>0</xdr:rowOff>
    </xdr:to>
    <xdr:cxnSp macro="">
      <xdr:nvCxnSpPr>
        <xdr:cNvPr id="2" name="Straight Connector 1">
          <a:extLst>
            <a:ext uri="{FF2B5EF4-FFF2-40B4-BE49-F238E27FC236}">
              <a16:creationId xmlns:a16="http://schemas.microsoft.com/office/drawing/2014/main" id="{00000000-0008-0000-1300-000002000000}"/>
            </a:ext>
          </a:extLst>
        </xdr:cNvPr>
        <xdr:cNvCxnSpPr/>
      </xdr:nvCxnSpPr>
      <xdr:spPr>
        <a:xfrm>
          <a:off x="635" y="971550"/>
          <a:ext cx="12800965" cy="0"/>
        </a:xfrm>
        <a:prstGeom prst="line">
          <a:avLst/>
        </a:prstGeom>
        <a:ln w="12700">
          <a:solidFill>
            <a:srgbClr val="00FF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635</xdr:colOff>
      <xdr:row>47</xdr:row>
      <xdr:rowOff>38099</xdr:rowOff>
    </xdr:from>
    <xdr:to>
      <xdr:col>21</xdr:col>
      <xdr:colOff>0</xdr:colOff>
      <xdr:row>47</xdr:row>
      <xdr:rowOff>38099</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635" y="6181724"/>
          <a:ext cx="7647940" cy="0"/>
        </a:xfrm>
        <a:prstGeom prst="line">
          <a:avLst/>
        </a:prstGeom>
        <a:ln w="3175">
          <a:solidFill>
            <a:srgbClr val="01010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10</xdr:row>
      <xdr:rowOff>0</xdr:rowOff>
    </xdr:from>
    <xdr:to>
      <xdr:col>18</xdr:col>
      <xdr:colOff>0</xdr:colOff>
      <xdr:row>47</xdr:row>
      <xdr:rowOff>38099</xdr:rowOff>
    </xdr:to>
    <xdr:cxnSp macro="">
      <xdr:nvCxnSpPr>
        <xdr:cNvPr id="4" name="Straight Connector 3">
          <a:extLst>
            <a:ext uri="{FF2B5EF4-FFF2-40B4-BE49-F238E27FC236}">
              <a16:creationId xmlns:a16="http://schemas.microsoft.com/office/drawing/2014/main" id="{00000000-0008-0000-1300-000004000000}"/>
            </a:ext>
          </a:extLst>
        </xdr:cNvPr>
        <xdr:cNvCxnSpPr/>
      </xdr:nvCxnSpPr>
      <xdr:spPr>
        <a:xfrm>
          <a:off x="10972800" y="971550"/>
          <a:ext cx="0" cy="6029324"/>
        </a:xfrm>
        <a:prstGeom prst="line">
          <a:avLst/>
        </a:prstGeom>
        <a:ln w="3175">
          <a:solidFill>
            <a:srgbClr val="01010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xdr:colOff>
      <xdr:row>12</xdr:row>
      <xdr:rowOff>0</xdr:rowOff>
    </xdr:from>
    <xdr:to>
      <xdr:col>20</xdr:col>
      <xdr:colOff>331505</xdr:colOff>
      <xdr:row>12</xdr:row>
      <xdr:rowOff>0</xdr:rowOff>
    </xdr:to>
    <xdr:cxnSp macro="">
      <xdr:nvCxnSpPr>
        <xdr:cNvPr id="5" name="Straight Connector 4">
          <a:extLst>
            <a:ext uri="{FF2B5EF4-FFF2-40B4-BE49-F238E27FC236}">
              <a16:creationId xmlns:a16="http://schemas.microsoft.com/office/drawing/2014/main" id="{00000000-0008-0000-1300-000005000000}"/>
            </a:ext>
          </a:extLst>
        </xdr:cNvPr>
        <xdr:cNvCxnSpPr/>
      </xdr:nvCxnSpPr>
      <xdr:spPr>
        <a:xfrm>
          <a:off x="632460" y="1295400"/>
          <a:ext cx="11852927" cy="0"/>
        </a:xfrm>
        <a:prstGeom prst="line">
          <a:avLst/>
        </a:prstGeom>
        <a:ln w="3175">
          <a:solidFill>
            <a:srgbClr val="01010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27</xdr:row>
      <xdr:rowOff>0</xdr:rowOff>
    </xdr:from>
    <xdr:to>
      <xdr:col>3</xdr:col>
      <xdr:colOff>203200</xdr:colOff>
      <xdr:row>27</xdr:row>
      <xdr:rowOff>203200</xdr:rowOff>
    </xdr:to>
    <xdr:pic>
      <xdr:nvPicPr>
        <xdr:cNvPr id="2" name="Picture 1" descr="//www.global-rates.com/images/misc/arrow_red_up.gif">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5283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28</xdr:row>
      <xdr:rowOff>0</xdr:rowOff>
    </xdr:from>
    <xdr:to>
      <xdr:col>3</xdr:col>
      <xdr:colOff>203200</xdr:colOff>
      <xdr:row>29</xdr:row>
      <xdr:rowOff>12700</xdr:rowOff>
    </xdr:to>
    <xdr:pic>
      <xdr:nvPicPr>
        <xdr:cNvPr id="3" name="Picture 2" descr="//www.global-rates.com/images/misc/arrow_green_down.gif">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5664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29</xdr:row>
      <xdr:rowOff>0</xdr:rowOff>
    </xdr:from>
    <xdr:to>
      <xdr:col>3</xdr:col>
      <xdr:colOff>203200</xdr:colOff>
      <xdr:row>30</xdr:row>
      <xdr:rowOff>12700</xdr:rowOff>
    </xdr:to>
    <xdr:pic>
      <xdr:nvPicPr>
        <xdr:cNvPr id="4" name="Picture 3" descr="//www.global-rates.com/images/misc/arrow_red_up.gif">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5854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30</xdr:row>
      <xdr:rowOff>0</xdr:rowOff>
    </xdr:from>
    <xdr:to>
      <xdr:col>3</xdr:col>
      <xdr:colOff>203200</xdr:colOff>
      <xdr:row>30</xdr:row>
      <xdr:rowOff>203200</xdr:rowOff>
    </xdr:to>
    <xdr:pic>
      <xdr:nvPicPr>
        <xdr:cNvPr id="5" name="Picture 4" descr="//www.global-rates.com/images/misc/arrow_green_down.gif">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6045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31</xdr:row>
      <xdr:rowOff>0</xdr:rowOff>
    </xdr:from>
    <xdr:to>
      <xdr:col>3</xdr:col>
      <xdr:colOff>203200</xdr:colOff>
      <xdr:row>32</xdr:row>
      <xdr:rowOff>12700</xdr:rowOff>
    </xdr:to>
    <xdr:pic>
      <xdr:nvPicPr>
        <xdr:cNvPr id="6" name="Picture 5" descr="//www.global-rates.com/images/misc/arrow_red_up.gif">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6426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32</xdr:row>
      <xdr:rowOff>0</xdr:rowOff>
    </xdr:from>
    <xdr:to>
      <xdr:col>3</xdr:col>
      <xdr:colOff>203200</xdr:colOff>
      <xdr:row>32</xdr:row>
      <xdr:rowOff>203200</xdr:rowOff>
    </xdr:to>
    <xdr:pic>
      <xdr:nvPicPr>
        <xdr:cNvPr id="7" name="Picture 6" descr="//www.global-rates.com/images/misc/arrow_green_down.gif">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6616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33</xdr:row>
      <xdr:rowOff>0</xdr:rowOff>
    </xdr:from>
    <xdr:to>
      <xdr:col>3</xdr:col>
      <xdr:colOff>203200</xdr:colOff>
      <xdr:row>34</xdr:row>
      <xdr:rowOff>12700</xdr:rowOff>
    </xdr:to>
    <xdr:pic>
      <xdr:nvPicPr>
        <xdr:cNvPr id="8" name="Picture 7" descr="//www.global-rates.com/images/misc/arrow_green_down.gif">
          <a:extLst>
            <a:ext uri="{FF2B5EF4-FFF2-40B4-BE49-F238E27FC236}">
              <a16:creationId xmlns:a16="http://schemas.microsoft.com/office/drawing/2014/main" id="{00000000-0008-0000-16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6997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34</xdr:row>
      <xdr:rowOff>0</xdr:rowOff>
    </xdr:from>
    <xdr:to>
      <xdr:col>3</xdr:col>
      <xdr:colOff>203200</xdr:colOff>
      <xdr:row>35</xdr:row>
      <xdr:rowOff>12700</xdr:rowOff>
    </xdr:to>
    <xdr:pic>
      <xdr:nvPicPr>
        <xdr:cNvPr id="9" name="Picture 8" descr="//www.global-rates.com/images/misc/arrow_green_down.gif">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7188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35</xdr:row>
      <xdr:rowOff>0</xdr:rowOff>
    </xdr:from>
    <xdr:to>
      <xdr:col>3</xdr:col>
      <xdr:colOff>203200</xdr:colOff>
      <xdr:row>35</xdr:row>
      <xdr:rowOff>203200</xdr:rowOff>
    </xdr:to>
    <xdr:pic>
      <xdr:nvPicPr>
        <xdr:cNvPr id="10" name="Picture 9" descr="//www.global-rates.com/images/misc/arrow_green_down.gif">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7378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36</xdr:row>
      <xdr:rowOff>0</xdr:rowOff>
    </xdr:from>
    <xdr:to>
      <xdr:col>3</xdr:col>
      <xdr:colOff>203200</xdr:colOff>
      <xdr:row>37</xdr:row>
      <xdr:rowOff>12700</xdr:rowOff>
    </xdr:to>
    <xdr:pic>
      <xdr:nvPicPr>
        <xdr:cNvPr id="11" name="Picture 10" descr="//www.global-rates.com/images/misc/arrow_green_down.gif">
          <a:extLst>
            <a:ext uri="{FF2B5EF4-FFF2-40B4-BE49-F238E27FC236}">
              <a16:creationId xmlns:a16="http://schemas.microsoft.com/office/drawing/2014/main" id="{00000000-0008-0000-16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7759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37</xdr:row>
      <xdr:rowOff>0</xdr:rowOff>
    </xdr:from>
    <xdr:to>
      <xdr:col>3</xdr:col>
      <xdr:colOff>203200</xdr:colOff>
      <xdr:row>38</xdr:row>
      <xdr:rowOff>12700</xdr:rowOff>
    </xdr:to>
    <xdr:pic>
      <xdr:nvPicPr>
        <xdr:cNvPr id="12" name="Picture 11" descr="//www.global-rates.com/images/misc/arrow_green_down.gif">
          <a:extLst>
            <a:ext uri="{FF2B5EF4-FFF2-40B4-BE49-F238E27FC236}">
              <a16:creationId xmlns:a16="http://schemas.microsoft.com/office/drawing/2014/main" id="{00000000-0008-0000-16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7950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38</xdr:row>
      <xdr:rowOff>0</xdr:rowOff>
    </xdr:from>
    <xdr:to>
      <xdr:col>3</xdr:col>
      <xdr:colOff>203200</xdr:colOff>
      <xdr:row>39</xdr:row>
      <xdr:rowOff>12700</xdr:rowOff>
    </xdr:to>
    <xdr:pic>
      <xdr:nvPicPr>
        <xdr:cNvPr id="13" name="Picture 12" descr="//www.global-rates.com/images/misc/arrow_green_down.gif">
          <a:extLst>
            <a:ext uri="{FF2B5EF4-FFF2-40B4-BE49-F238E27FC236}">
              <a16:creationId xmlns:a16="http://schemas.microsoft.com/office/drawing/2014/main" id="{00000000-0008-0000-16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8140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39</xdr:row>
      <xdr:rowOff>0</xdr:rowOff>
    </xdr:from>
    <xdr:to>
      <xdr:col>3</xdr:col>
      <xdr:colOff>203200</xdr:colOff>
      <xdr:row>40</xdr:row>
      <xdr:rowOff>12700</xdr:rowOff>
    </xdr:to>
    <xdr:pic>
      <xdr:nvPicPr>
        <xdr:cNvPr id="14" name="Picture 13" descr="//www.global-rates.com/images/misc/arrow_green_down.gif">
          <a:extLst>
            <a:ext uri="{FF2B5EF4-FFF2-40B4-BE49-F238E27FC236}">
              <a16:creationId xmlns:a16="http://schemas.microsoft.com/office/drawing/2014/main" id="{00000000-0008-0000-16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8331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40</xdr:row>
      <xdr:rowOff>0</xdr:rowOff>
    </xdr:from>
    <xdr:to>
      <xdr:col>3</xdr:col>
      <xdr:colOff>203200</xdr:colOff>
      <xdr:row>41</xdr:row>
      <xdr:rowOff>12700</xdr:rowOff>
    </xdr:to>
    <xdr:pic>
      <xdr:nvPicPr>
        <xdr:cNvPr id="15" name="Picture 14" descr="//www.global-rates.com/images/misc/arrow_green_down.gif">
          <a:extLst>
            <a:ext uri="{FF2B5EF4-FFF2-40B4-BE49-F238E27FC236}">
              <a16:creationId xmlns:a16="http://schemas.microsoft.com/office/drawing/2014/main" id="{00000000-0008-0000-1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8521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41</xdr:row>
      <xdr:rowOff>0</xdr:rowOff>
    </xdr:from>
    <xdr:to>
      <xdr:col>3</xdr:col>
      <xdr:colOff>203200</xdr:colOff>
      <xdr:row>42</xdr:row>
      <xdr:rowOff>12700</xdr:rowOff>
    </xdr:to>
    <xdr:pic>
      <xdr:nvPicPr>
        <xdr:cNvPr id="16" name="Picture 15" descr="//www.global-rates.com/images/misc/arrow_green_down.gif">
          <a:extLst>
            <a:ext uri="{FF2B5EF4-FFF2-40B4-BE49-F238E27FC236}">
              <a16:creationId xmlns:a16="http://schemas.microsoft.com/office/drawing/2014/main" id="{00000000-0008-0000-16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8712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42</xdr:row>
      <xdr:rowOff>0</xdr:rowOff>
    </xdr:from>
    <xdr:to>
      <xdr:col>3</xdr:col>
      <xdr:colOff>203200</xdr:colOff>
      <xdr:row>43</xdr:row>
      <xdr:rowOff>12700</xdr:rowOff>
    </xdr:to>
    <xdr:pic>
      <xdr:nvPicPr>
        <xdr:cNvPr id="17" name="Picture 16" descr="//www.global-rates.com/images/misc/arrow_green_down.gif">
          <a:extLst>
            <a:ext uri="{FF2B5EF4-FFF2-40B4-BE49-F238E27FC236}">
              <a16:creationId xmlns:a16="http://schemas.microsoft.com/office/drawing/2014/main" id="{00000000-0008-0000-16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8902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43</xdr:row>
      <xdr:rowOff>0</xdr:rowOff>
    </xdr:from>
    <xdr:to>
      <xdr:col>3</xdr:col>
      <xdr:colOff>203200</xdr:colOff>
      <xdr:row>44</xdr:row>
      <xdr:rowOff>12700</xdr:rowOff>
    </xdr:to>
    <xdr:pic>
      <xdr:nvPicPr>
        <xdr:cNvPr id="18" name="Picture 17" descr="//www.global-rates.com/images/misc/arrow_red_up.gif">
          <a:extLst>
            <a:ext uri="{FF2B5EF4-FFF2-40B4-BE49-F238E27FC236}">
              <a16:creationId xmlns:a16="http://schemas.microsoft.com/office/drawing/2014/main" id="{00000000-0008-0000-1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9093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44</xdr:row>
      <xdr:rowOff>0</xdr:rowOff>
    </xdr:from>
    <xdr:to>
      <xdr:col>3</xdr:col>
      <xdr:colOff>203200</xdr:colOff>
      <xdr:row>44</xdr:row>
      <xdr:rowOff>203200</xdr:rowOff>
    </xdr:to>
    <xdr:pic>
      <xdr:nvPicPr>
        <xdr:cNvPr id="19" name="Picture 18" descr="//www.global-rates.com/images/misc/arrow_green_down.gif">
          <a:extLst>
            <a:ext uri="{FF2B5EF4-FFF2-40B4-BE49-F238E27FC236}">
              <a16:creationId xmlns:a16="http://schemas.microsoft.com/office/drawing/2014/main" id="{00000000-0008-0000-16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9283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45</xdr:row>
      <xdr:rowOff>0</xdr:rowOff>
    </xdr:from>
    <xdr:to>
      <xdr:col>3</xdr:col>
      <xdr:colOff>203200</xdr:colOff>
      <xdr:row>46</xdr:row>
      <xdr:rowOff>12700</xdr:rowOff>
    </xdr:to>
    <xdr:pic>
      <xdr:nvPicPr>
        <xdr:cNvPr id="20" name="Picture 19" descr="//www.global-rates.com/images/misc/arrow_green_down.gif">
          <a:extLst>
            <a:ext uri="{FF2B5EF4-FFF2-40B4-BE49-F238E27FC236}">
              <a16:creationId xmlns:a16="http://schemas.microsoft.com/office/drawing/2014/main" id="{00000000-0008-0000-16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9664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46</xdr:row>
      <xdr:rowOff>0</xdr:rowOff>
    </xdr:from>
    <xdr:to>
      <xdr:col>3</xdr:col>
      <xdr:colOff>203200</xdr:colOff>
      <xdr:row>47</xdr:row>
      <xdr:rowOff>12700</xdr:rowOff>
    </xdr:to>
    <xdr:pic>
      <xdr:nvPicPr>
        <xdr:cNvPr id="21" name="Picture 20" descr="//www.global-rates.com/images/misc/arrow_green_down.gif">
          <a:extLst>
            <a:ext uri="{FF2B5EF4-FFF2-40B4-BE49-F238E27FC236}">
              <a16:creationId xmlns:a16="http://schemas.microsoft.com/office/drawing/2014/main" id="{00000000-0008-0000-16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9855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47</xdr:row>
      <xdr:rowOff>0</xdr:rowOff>
    </xdr:from>
    <xdr:to>
      <xdr:col>3</xdr:col>
      <xdr:colOff>203200</xdr:colOff>
      <xdr:row>48</xdr:row>
      <xdr:rowOff>12700</xdr:rowOff>
    </xdr:to>
    <xdr:pic>
      <xdr:nvPicPr>
        <xdr:cNvPr id="22" name="Picture 21" descr="//www.global-rates.com/images/misc/arrow_green_down.gif">
          <a:extLst>
            <a:ext uri="{FF2B5EF4-FFF2-40B4-BE49-F238E27FC236}">
              <a16:creationId xmlns:a16="http://schemas.microsoft.com/office/drawing/2014/main" id="{00000000-0008-0000-16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10045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48</xdr:row>
      <xdr:rowOff>0</xdr:rowOff>
    </xdr:from>
    <xdr:to>
      <xdr:col>3</xdr:col>
      <xdr:colOff>203200</xdr:colOff>
      <xdr:row>48</xdr:row>
      <xdr:rowOff>203200</xdr:rowOff>
    </xdr:to>
    <xdr:pic>
      <xdr:nvPicPr>
        <xdr:cNvPr id="23" name="Picture 22" descr="//www.global-rates.com/images/misc/arrow_green_down.gif">
          <a:extLst>
            <a:ext uri="{FF2B5EF4-FFF2-40B4-BE49-F238E27FC236}">
              <a16:creationId xmlns:a16="http://schemas.microsoft.com/office/drawing/2014/main" id="{00000000-0008-0000-16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10236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49</xdr:row>
      <xdr:rowOff>0</xdr:rowOff>
    </xdr:from>
    <xdr:to>
      <xdr:col>3</xdr:col>
      <xdr:colOff>203200</xdr:colOff>
      <xdr:row>49</xdr:row>
      <xdr:rowOff>203200</xdr:rowOff>
    </xdr:to>
    <xdr:pic>
      <xdr:nvPicPr>
        <xdr:cNvPr id="24" name="Picture 23" descr="//www.global-rates.com/images/misc/arrow_red_up.gif">
          <a:extLst>
            <a:ext uri="{FF2B5EF4-FFF2-40B4-BE49-F238E27FC236}">
              <a16:creationId xmlns:a16="http://schemas.microsoft.com/office/drawing/2014/main" id="{00000000-0008-0000-16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10617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50</xdr:row>
      <xdr:rowOff>0</xdr:rowOff>
    </xdr:from>
    <xdr:to>
      <xdr:col>3</xdr:col>
      <xdr:colOff>203200</xdr:colOff>
      <xdr:row>51</xdr:row>
      <xdr:rowOff>12700</xdr:rowOff>
    </xdr:to>
    <xdr:pic>
      <xdr:nvPicPr>
        <xdr:cNvPr id="25" name="Picture 24" descr="//www.global-rates.com/images/misc/arrow_green_down.gif">
          <a:extLst>
            <a:ext uri="{FF2B5EF4-FFF2-40B4-BE49-F238E27FC236}">
              <a16:creationId xmlns:a16="http://schemas.microsoft.com/office/drawing/2014/main" id="{00000000-0008-0000-16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10998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51</xdr:row>
      <xdr:rowOff>0</xdr:rowOff>
    </xdr:from>
    <xdr:to>
      <xdr:col>3</xdr:col>
      <xdr:colOff>203200</xdr:colOff>
      <xdr:row>52</xdr:row>
      <xdr:rowOff>12700</xdr:rowOff>
    </xdr:to>
    <xdr:pic>
      <xdr:nvPicPr>
        <xdr:cNvPr id="26" name="Picture 25" descr="//www.global-rates.com/images/misc/arrow_green_down.gif">
          <a:extLst>
            <a:ext uri="{FF2B5EF4-FFF2-40B4-BE49-F238E27FC236}">
              <a16:creationId xmlns:a16="http://schemas.microsoft.com/office/drawing/2014/main" id="{00000000-0008-0000-16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111887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0</xdr:colOff>
      <xdr:row>52</xdr:row>
      <xdr:rowOff>0</xdr:rowOff>
    </xdr:from>
    <xdr:to>
      <xdr:col>3</xdr:col>
      <xdr:colOff>203200</xdr:colOff>
      <xdr:row>53</xdr:row>
      <xdr:rowOff>0</xdr:rowOff>
    </xdr:to>
    <xdr:pic>
      <xdr:nvPicPr>
        <xdr:cNvPr id="27" name="Picture 26" descr="//www.global-rates.com/images/misc/arrow_green_down.gif">
          <a:extLst>
            <a:ext uri="{FF2B5EF4-FFF2-40B4-BE49-F238E27FC236}">
              <a16:creationId xmlns:a16="http://schemas.microsoft.com/office/drawing/2014/main" id="{00000000-0008-0000-16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1100" y="11379200"/>
          <a:ext cx="203200" cy="203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41275</xdr:colOff>
      <xdr:row>9</xdr:row>
      <xdr:rowOff>50800</xdr:rowOff>
    </xdr:from>
    <xdr:to>
      <xdr:col>13</xdr:col>
      <xdr:colOff>812800</xdr:colOff>
      <xdr:row>23</xdr:row>
      <xdr:rowOff>19050</xdr:rowOff>
    </xdr:to>
    <xdr:graphicFrame macro="">
      <xdr:nvGraphicFramePr>
        <xdr:cNvPr id="2" name="Grafico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44449</xdr:colOff>
      <xdr:row>52</xdr:row>
      <xdr:rowOff>38100</xdr:rowOff>
    </xdr:from>
    <xdr:to>
      <xdr:col>13</xdr:col>
      <xdr:colOff>787400</xdr:colOff>
      <xdr:row>66</xdr:row>
      <xdr:rowOff>12700</xdr:rowOff>
    </xdr:to>
    <xdr:graphicFrame macro="">
      <xdr:nvGraphicFramePr>
        <xdr:cNvPr id="3" name="Grafico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31750</xdr:colOff>
      <xdr:row>95</xdr:row>
      <xdr:rowOff>127000</xdr:rowOff>
    </xdr:from>
    <xdr:to>
      <xdr:col>13</xdr:col>
      <xdr:colOff>812800</xdr:colOff>
      <xdr:row>109</xdr:row>
      <xdr:rowOff>66675</xdr:rowOff>
    </xdr:to>
    <xdr:graphicFrame macro="">
      <xdr:nvGraphicFramePr>
        <xdr:cNvPr id="4" name="Gra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113</xdr:row>
      <xdr:rowOff>0</xdr:rowOff>
    </xdr:from>
    <xdr:to>
      <xdr:col>0</xdr:col>
      <xdr:colOff>139700</xdr:colOff>
      <xdr:row>113</xdr:row>
      <xdr:rowOff>139700</xdr:rowOff>
    </xdr:to>
    <xdr:pic>
      <xdr:nvPicPr>
        <xdr:cNvPr id="53" name="Picture 96" descr="AMBI CALCOLATI DA BI">
          <a:extLst>
            <a:ext uri="{FF2B5EF4-FFF2-40B4-BE49-F238E27FC236}">
              <a16:creationId xmlns:a16="http://schemas.microsoft.com/office/drawing/2014/main" id="{00000000-0008-0000-1700-00003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1564600"/>
          <a:ext cx="139700" cy="1397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5</xdr:col>
      <xdr:colOff>863600</xdr:colOff>
      <xdr:row>11</xdr:row>
      <xdr:rowOff>114300</xdr:rowOff>
    </xdr:to>
    <xdr:pic>
      <xdr:nvPicPr>
        <xdr:cNvPr id="63675" name="Picture 1" descr="Net Present Value (NPV)">
          <a:extLst>
            <a:ext uri="{FF2B5EF4-FFF2-40B4-BE49-F238E27FC236}">
              <a16:creationId xmlns:a16="http://schemas.microsoft.com/office/drawing/2014/main" id="{00000000-0008-0000-1B00-0000BBF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1460500"/>
          <a:ext cx="1739900" cy="444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317500</xdr:colOff>
      <xdr:row>10</xdr:row>
      <xdr:rowOff>12700</xdr:rowOff>
    </xdr:from>
    <xdr:to>
      <xdr:col>2</xdr:col>
      <xdr:colOff>419100</xdr:colOff>
      <xdr:row>15</xdr:row>
      <xdr:rowOff>139700</xdr:rowOff>
    </xdr:to>
    <xdr:sp macro="" textlink="">
      <xdr:nvSpPr>
        <xdr:cNvPr id="107995" name="AutoShape 7">
          <a:extLst>
            <a:ext uri="{FF2B5EF4-FFF2-40B4-BE49-F238E27FC236}">
              <a16:creationId xmlns:a16="http://schemas.microsoft.com/office/drawing/2014/main" id="{00000000-0008-0000-1C00-0000DBA50100}"/>
            </a:ext>
          </a:extLst>
        </xdr:cNvPr>
        <xdr:cNvSpPr>
          <a:spLocks/>
        </xdr:cNvSpPr>
      </xdr:nvSpPr>
      <xdr:spPr bwMode="auto">
        <a:xfrm>
          <a:off x="3632200" y="1600200"/>
          <a:ext cx="101600" cy="1041400"/>
        </a:xfrm>
        <a:prstGeom prst="rightBrace">
          <a:avLst>
            <a:gd name="adj1" fmla="val 85417"/>
            <a:gd name="adj2" fmla="val 50000"/>
          </a:avLst>
        </a:prstGeom>
        <a:noFill/>
        <a:ln w="22225">
          <a:solidFill>
            <a:srgbClr val="000000"/>
          </a:solidFill>
          <a:round/>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lang="it-IT"/>
        </a:p>
      </xdr:txBody>
    </xdr:sp>
    <xdr:clientData/>
  </xdr:twoCellAnchor>
  <xdr:twoCellAnchor>
    <xdr:from>
      <xdr:col>2</xdr:col>
      <xdr:colOff>431800</xdr:colOff>
      <xdr:row>4</xdr:row>
      <xdr:rowOff>0</xdr:rowOff>
    </xdr:from>
    <xdr:to>
      <xdr:col>2</xdr:col>
      <xdr:colOff>774700</xdr:colOff>
      <xdr:row>13</xdr:row>
      <xdr:rowOff>0</xdr:rowOff>
    </xdr:to>
    <xdr:cxnSp macro="">
      <xdr:nvCxnSpPr>
        <xdr:cNvPr id="107996" name="AutoShape 8">
          <a:extLst>
            <a:ext uri="{FF2B5EF4-FFF2-40B4-BE49-F238E27FC236}">
              <a16:creationId xmlns:a16="http://schemas.microsoft.com/office/drawing/2014/main" id="{00000000-0008-0000-1C00-0000DCA50100}"/>
            </a:ext>
          </a:extLst>
        </xdr:cNvPr>
        <xdr:cNvCxnSpPr>
          <a:cxnSpLocks noChangeShapeType="1"/>
          <a:endCxn id="107995" idx="1"/>
        </xdr:cNvCxnSpPr>
      </xdr:nvCxnSpPr>
      <xdr:spPr bwMode="auto">
        <a:xfrm rot="5400000">
          <a:off x="3143250" y="1276350"/>
          <a:ext cx="1524000" cy="31750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2</xdr:col>
      <xdr:colOff>723900</xdr:colOff>
      <xdr:row>4</xdr:row>
      <xdr:rowOff>12700</xdr:rowOff>
    </xdr:from>
    <xdr:to>
      <xdr:col>3</xdr:col>
      <xdr:colOff>0</xdr:colOff>
      <xdr:row>4</xdr:row>
      <xdr:rowOff>12700</xdr:rowOff>
    </xdr:to>
    <xdr:sp macro="" textlink="">
      <xdr:nvSpPr>
        <xdr:cNvPr id="107997" name="Line 10">
          <a:extLst>
            <a:ext uri="{FF2B5EF4-FFF2-40B4-BE49-F238E27FC236}">
              <a16:creationId xmlns:a16="http://schemas.microsoft.com/office/drawing/2014/main" id="{00000000-0008-0000-1C00-0000DDA50100}"/>
            </a:ext>
          </a:extLst>
        </xdr:cNvPr>
        <xdr:cNvSpPr>
          <a:spLocks noChangeShapeType="1"/>
        </xdr:cNvSpPr>
      </xdr:nvSpPr>
      <xdr:spPr bwMode="auto">
        <a:xfrm flipH="1">
          <a:off x="4038600" y="685800"/>
          <a:ext cx="254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it-IT"/>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330200</xdr:colOff>
      <xdr:row>34</xdr:row>
      <xdr:rowOff>12700</xdr:rowOff>
    </xdr:from>
    <xdr:to>
      <xdr:col>9</xdr:col>
      <xdr:colOff>558800</xdr:colOff>
      <xdr:row>54</xdr:row>
      <xdr:rowOff>63500</xdr:rowOff>
    </xdr:to>
    <xdr:graphicFrame macro="">
      <xdr:nvGraphicFramePr>
        <xdr:cNvPr id="109325" name="Grafico 5">
          <a:extLst>
            <a:ext uri="{FF2B5EF4-FFF2-40B4-BE49-F238E27FC236}">
              <a16:creationId xmlns:a16="http://schemas.microsoft.com/office/drawing/2014/main" id="{00000000-0008-0000-1D00-00000DA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965200</xdr:colOff>
      <xdr:row>44</xdr:row>
      <xdr:rowOff>25400</xdr:rowOff>
    </xdr:from>
    <xdr:to>
      <xdr:col>6</xdr:col>
      <xdr:colOff>1295400</xdr:colOff>
      <xdr:row>44</xdr:row>
      <xdr:rowOff>38100</xdr:rowOff>
    </xdr:to>
    <xdr:sp macro="" textlink="">
      <xdr:nvSpPr>
        <xdr:cNvPr id="109326" name="Line 6">
          <a:extLst>
            <a:ext uri="{FF2B5EF4-FFF2-40B4-BE49-F238E27FC236}">
              <a16:creationId xmlns:a16="http://schemas.microsoft.com/office/drawing/2014/main" id="{00000000-0008-0000-1D00-00000EAB0100}"/>
            </a:ext>
          </a:extLst>
        </xdr:cNvPr>
        <xdr:cNvSpPr>
          <a:spLocks noChangeShapeType="1"/>
        </xdr:cNvSpPr>
      </xdr:nvSpPr>
      <xdr:spPr bwMode="auto">
        <a:xfrm>
          <a:off x="3251200" y="6870700"/>
          <a:ext cx="6223000" cy="12700"/>
        </a:xfrm>
        <a:prstGeom prst="line">
          <a:avLst/>
        </a:prstGeom>
        <a:noFill/>
        <a:ln w="9525">
          <a:solidFill>
            <a:srgbClr val="FF0000"/>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it-IT"/>
        </a:p>
      </xdr:txBody>
    </xdr:sp>
    <xdr:clientData/>
  </xdr:twoCellAnchor>
  <xdr:twoCellAnchor>
    <xdr:from>
      <xdr:col>3</xdr:col>
      <xdr:colOff>355600</xdr:colOff>
      <xdr:row>42</xdr:row>
      <xdr:rowOff>88900</xdr:rowOff>
    </xdr:from>
    <xdr:to>
      <xdr:col>7</xdr:col>
      <xdr:colOff>101600</xdr:colOff>
      <xdr:row>42</xdr:row>
      <xdr:rowOff>88900</xdr:rowOff>
    </xdr:to>
    <xdr:sp macro="" textlink="">
      <xdr:nvSpPr>
        <xdr:cNvPr id="109327" name="Line 8">
          <a:extLst>
            <a:ext uri="{FF2B5EF4-FFF2-40B4-BE49-F238E27FC236}">
              <a16:creationId xmlns:a16="http://schemas.microsoft.com/office/drawing/2014/main" id="{00000000-0008-0000-1D00-00000FAB0100}"/>
            </a:ext>
          </a:extLst>
        </xdr:cNvPr>
        <xdr:cNvSpPr>
          <a:spLocks noChangeShapeType="1"/>
        </xdr:cNvSpPr>
      </xdr:nvSpPr>
      <xdr:spPr bwMode="auto">
        <a:xfrm>
          <a:off x="4114800" y="6629400"/>
          <a:ext cx="5638800" cy="0"/>
        </a:xfrm>
        <a:prstGeom prst="line">
          <a:avLst/>
        </a:prstGeom>
        <a:noFill/>
        <a:ln w="9525">
          <a:solidFill>
            <a:srgbClr val="0000FF"/>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it-IT"/>
        </a:p>
      </xdr:txBody>
    </xdr:sp>
    <xdr:clientData/>
  </xdr:twoCellAnchor>
  <xdr:twoCellAnchor>
    <xdr:from>
      <xdr:col>2</xdr:col>
      <xdr:colOff>1473200</xdr:colOff>
      <xdr:row>29</xdr:row>
      <xdr:rowOff>63500</xdr:rowOff>
    </xdr:from>
    <xdr:to>
      <xdr:col>3</xdr:col>
      <xdr:colOff>317500</xdr:colOff>
      <xdr:row>42</xdr:row>
      <xdr:rowOff>101600</xdr:rowOff>
    </xdr:to>
    <xdr:sp macro="" textlink="">
      <xdr:nvSpPr>
        <xdr:cNvPr id="109328" name="Line 9">
          <a:extLst>
            <a:ext uri="{FF2B5EF4-FFF2-40B4-BE49-F238E27FC236}">
              <a16:creationId xmlns:a16="http://schemas.microsoft.com/office/drawing/2014/main" id="{00000000-0008-0000-1D00-000010AB0100}"/>
            </a:ext>
          </a:extLst>
        </xdr:cNvPr>
        <xdr:cNvSpPr>
          <a:spLocks noChangeShapeType="1"/>
        </xdr:cNvSpPr>
      </xdr:nvSpPr>
      <xdr:spPr bwMode="auto">
        <a:xfrm flipH="1" flipV="1">
          <a:off x="3759200" y="4622800"/>
          <a:ext cx="317500" cy="2019300"/>
        </a:xfrm>
        <a:prstGeom prst="line">
          <a:avLst/>
        </a:prstGeom>
        <a:noFill/>
        <a:ln w="9525">
          <a:solidFill>
            <a:srgbClr val="0000FF"/>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it-IT"/>
        </a:p>
      </xdr:txBody>
    </xdr:sp>
    <xdr:clientData/>
  </xdr:twoCellAnchor>
  <xdr:twoCellAnchor>
    <xdr:from>
      <xdr:col>2</xdr:col>
      <xdr:colOff>939800</xdr:colOff>
      <xdr:row>30</xdr:row>
      <xdr:rowOff>76200</xdr:rowOff>
    </xdr:from>
    <xdr:to>
      <xdr:col>3</xdr:col>
      <xdr:colOff>0</xdr:colOff>
      <xdr:row>44</xdr:row>
      <xdr:rowOff>25400</xdr:rowOff>
    </xdr:to>
    <xdr:sp macro="" textlink="">
      <xdr:nvSpPr>
        <xdr:cNvPr id="109329" name="Line 10">
          <a:extLst>
            <a:ext uri="{FF2B5EF4-FFF2-40B4-BE49-F238E27FC236}">
              <a16:creationId xmlns:a16="http://schemas.microsoft.com/office/drawing/2014/main" id="{00000000-0008-0000-1D00-000011AB0100}"/>
            </a:ext>
          </a:extLst>
        </xdr:cNvPr>
        <xdr:cNvSpPr>
          <a:spLocks noChangeShapeType="1"/>
        </xdr:cNvSpPr>
      </xdr:nvSpPr>
      <xdr:spPr bwMode="auto">
        <a:xfrm flipV="1">
          <a:off x="3225800" y="4787900"/>
          <a:ext cx="533400" cy="2082800"/>
        </a:xfrm>
        <a:prstGeom prst="line">
          <a:avLst/>
        </a:prstGeom>
        <a:noFill/>
        <a:ln w="9525">
          <a:solidFill>
            <a:srgbClr val="FF0000"/>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it-IT"/>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342900</xdr:colOff>
      <xdr:row>14</xdr:row>
      <xdr:rowOff>50800</xdr:rowOff>
    </xdr:from>
    <xdr:to>
      <xdr:col>0</xdr:col>
      <xdr:colOff>838200</xdr:colOff>
      <xdr:row>18</xdr:row>
      <xdr:rowOff>88900</xdr:rowOff>
    </xdr:to>
    <xdr:sp macro="" textlink="">
      <xdr:nvSpPr>
        <xdr:cNvPr id="184528" name="AutoShape 1">
          <a:extLst>
            <a:ext uri="{FF2B5EF4-FFF2-40B4-BE49-F238E27FC236}">
              <a16:creationId xmlns:a16="http://schemas.microsoft.com/office/drawing/2014/main" id="{00000000-0008-0000-2000-0000D0D00200}"/>
            </a:ext>
          </a:extLst>
        </xdr:cNvPr>
        <xdr:cNvSpPr>
          <a:spLocks noChangeArrowheads="1"/>
        </xdr:cNvSpPr>
      </xdr:nvSpPr>
      <xdr:spPr bwMode="auto">
        <a:xfrm>
          <a:off x="342900" y="2857500"/>
          <a:ext cx="495300" cy="850900"/>
        </a:xfrm>
        <a:prstGeom prst="downArrow">
          <a:avLst>
            <a:gd name="adj1" fmla="val 50000"/>
            <a:gd name="adj2" fmla="val 42949"/>
          </a:avLst>
        </a:prstGeom>
        <a:solidFill>
          <a:srgbClr val="FFFFFF"/>
        </a:solidFill>
        <a:ln w="9525">
          <a:solidFill>
            <a:srgbClr val="000000"/>
          </a:solidFill>
          <a:miter lim="800000"/>
          <a:headEnd/>
          <a:tailEnd/>
        </a:ln>
      </xdr:spPr>
      <xdr:txBody>
        <a:bodyPr rtlCol="0"/>
        <a:lstStyle/>
        <a:p>
          <a:pPr algn="ctr"/>
          <a:endParaRPr lang="it-IT"/>
        </a:p>
      </xdr:txBody>
    </xdr:sp>
    <xdr:clientData/>
  </xdr:twoCellAnchor>
  <xdr:twoCellAnchor>
    <xdr:from>
      <xdr:col>4</xdr:col>
      <xdr:colOff>342900</xdr:colOff>
      <xdr:row>14</xdr:row>
      <xdr:rowOff>76200</xdr:rowOff>
    </xdr:from>
    <xdr:to>
      <xdr:col>4</xdr:col>
      <xdr:colOff>838200</xdr:colOff>
      <xdr:row>18</xdr:row>
      <xdr:rowOff>114300</xdr:rowOff>
    </xdr:to>
    <xdr:sp macro="" textlink="">
      <xdr:nvSpPr>
        <xdr:cNvPr id="184529" name="AutoShape 1">
          <a:extLst>
            <a:ext uri="{FF2B5EF4-FFF2-40B4-BE49-F238E27FC236}">
              <a16:creationId xmlns:a16="http://schemas.microsoft.com/office/drawing/2014/main" id="{00000000-0008-0000-2000-0000D1D00200}"/>
            </a:ext>
          </a:extLst>
        </xdr:cNvPr>
        <xdr:cNvSpPr>
          <a:spLocks noChangeArrowheads="1"/>
        </xdr:cNvSpPr>
      </xdr:nvSpPr>
      <xdr:spPr bwMode="auto">
        <a:xfrm>
          <a:off x="4368800" y="2882900"/>
          <a:ext cx="495300" cy="850900"/>
        </a:xfrm>
        <a:prstGeom prst="downArrow">
          <a:avLst>
            <a:gd name="adj1" fmla="val 50000"/>
            <a:gd name="adj2" fmla="val 42949"/>
          </a:avLst>
        </a:prstGeom>
        <a:solidFill>
          <a:srgbClr val="FFFFFF"/>
        </a:solidFill>
        <a:ln w="9525">
          <a:solidFill>
            <a:srgbClr val="000000"/>
          </a:solidFill>
          <a:miter lim="800000"/>
          <a:headEnd/>
          <a:tailEnd/>
        </a:ln>
      </xdr:spPr>
      <xdr:txBody>
        <a:bodyPr rtlCol="0"/>
        <a:lstStyle/>
        <a:p>
          <a:pPr algn="ctr"/>
          <a:endParaRPr lang="it-IT"/>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4</xdr:row>
      <xdr:rowOff>25400</xdr:rowOff>
    </xdr:from>
    <xdr:to>
      <xdr:col>8</xdr:col>
      <xdr:colOff>740039</xdr:colOff>
      <xdr:row>38</xdr:row>
      <xdr:rowOff>165100</xdr:rowOff>
    </xdr:to>
    <xdr:pic>
      <xdr:nvPicPr>
        <xdr:cNvPr id="2" name="Immagine 1" descr="IC eval.jpg">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36600"/>
          <a:ext cx="7344039" cy="618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38100</xdr:rowOff>
    </xdr:from>
    <xdr:to>
      <xdr:col>9</xdr:col>
      <xdr:colOff>228600</xdr:colOff>
      <xdr:row>7</xdr:row>
      <xdr:rowOff>139700</xdr:rowOff>
    </xdr:to>
    <xdr:sp macro="" textlink="">
      <xdr:nvSpPr>
        <xdr:cNvPr id="103325" name="CasellaDiTesto 1">
          <a:extLst>
            <a:ext uri="{FF2B5EF4-FFF2-40B4-BE49-F238E27FC236}">
              <a16:creationId xmlns:a16="http://schemas.microsoft.com/office/drawing/2014/main" id="{00000000-0008-0000-0100-00009D930100}"/>
            </a:ext>
          </a:extLst>
        </xdr:cNvPr>
        <xdr:cNvSpPr txBox="1">
          <a:spLocks noChangeArrowheads="1"/>
        </xdr:cNvSpPr>
      </xdr:nvSpPr>
      <xdr:spPr bwMode="auto">
        <a:xfrm>
          <a:off x="0" y="38100"/>
          <a:ext cx="6286500" cy="1168400"/>
        </a:xfrm>
        <a:prstGeom prst="rect">
          <a:avLst/>
        </a:prstGeom>
        <a:solidFill>
          <a:srgbClr val="FFFF99"/>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45720" tIns="50292" rIns="45720" bIns="0" anchor="t" upright="1"/>
        <a:lstStyle/>
        <a:p>
          <a:pPr algn="just" rtl="0">
            <a:defRPr sz="1000"/>
          </a:pPr>
          <a:r>
            <a:rPr lang="it-IT" sz="1800" b="0" i="0" u="none" strike="noStrike" baseline="0">
              <a:solidFill>
                <a:srgbClr val="000000"/>
              </a:solidFill>
              <a:latin typeface="Calibri"/>
              <a:ea typeface="Calibri"/>
              <a:cs typeface="Calibri"/>
            </a:rPr>
            <a:t>How to write a Business Plan? </a:t>
          </a:r>
        </a:p>
        <a:p>
          <a:pPr algn="just" rtl="0">
            <a:defRPr sz="1000"/>
          </a:pPr>
          <a:r>
            <a:rPr lang="it-IT" sz="1800" b="0" i="0" u="none" strike="noStrike" baseline="0">
              <a:solidFill>
                <a:srgbClr val="000000"/>
              </a:solidFill>
              <a:latin typeface="Calibri"/>
              <a:ea typeface="Calibri"/>
              <a:cs typeface="Calibri"/>
            </a:rPr>
            <a:t>In this sheet we present a short explanation about the major steps to follow to prepare a proper business plan.</a:t>
          </a:r>
        </a:p>
      </xdr:txBody>
    </xdr:sp>
    <xdr:clientData/>
  </xdr:twoCellAnchor>
  <xdr:twoCellAnchor>
    <xdr:from>
      <xdr:col>12</xdr:col>
      <xdr:colOff>469900</xdr:colOff>
      <xdr:row>2</xdr:row>
      <xdr:rowOff>139700</xdr:rowOff>
    </xdr:from>
    <xdr:to>
      <xdr:col>15</xdr:col>
      <xdr:colOff>0</xdr:colOff>
      <xdr:row>10</xdr:row>
      <xdr:rowOff>101600</xdr:rowOff>
    </xdr:to>
    <xdr:grpSp>
      <xdr:nvGrpSpPr>
        <xdr:cNvPr id="103338" name="Gruppo 4">
          <a:hlinkClick xmlns:r="http://schemas.openxmlformats.org/officeDocument/2006/relationships" r:id="rId1"/>
          <a:extLst>
            <a:ext uri="{FF2B5EF4-FFF2-40B4-BE49-F238E27FC236}">
              <a16:creationId xmlns:a16="http://schemas.microsoft.com/office/drawing/2014/main" id="{00000000-0008-0000-0100-0000AA930100}"/>
            </a:ext>
          </a:extLst>
        </xdr:cNvPr>
        <xdr:cNvGrpSpPr>
          <a:grpSpLocks/>
        </xdr:cNvGrpSpPr>
      </xdr:nvGrpSpPr>
      <xdr:grpSpPr bwMode="auto">
        <a:xfrm>
          <a:off x="7556500" y="463550"/>
          <a:ext cx="1301750" cy="1257300"/>
          <a:chOff x="3262325" y="292100"/>
          <a:chExt cx="2006600" cy="1434790"/>
        </a:xfrm>
      </xdr:grpSpPr>
      <xdr:pic>
        <xdr:nvPicPr>
          <xdr:cNvPr id="103341" name="Immagine 2" descr="WWW3.jpg">
            <a:extLst>
              <a:ext uri="{FF2B5EF4-FFF2-40B4-BE49-F238E27FC236}">
                <a16:creationId xmlns:a16="http://schemas.microsoft.com/office/drawing/2014/main" id="{00000000-0008-0000-0100-0000AD93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3800" y="292100"/>
            <a:ext cx="1146276"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4" name="CasellaDiTesto 3">
            <a:extLst>
              <a:ext uri="{FF2B5EF4-FFF2-40B4-BE49-F238E27FC236}">
                <a16:creationId xmlns:a16="http://schemas.microsoft.com/office/drawing/2014/main" id="{00000000-0008-0000-0100-000004000000}"/>
              </a:ext>
            </a:extLst>
          </xdr:cNvPr>
          <xdr:cNvSpPr txBox="1"/>
        </xdr:nvSpPr>
        <xdr:spPr>
          <a:xfrm>
            <a:off x="3262325" y="1449189"/>
            <a:ext cx="2006600" cy="277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Business Plan</a:t>
            </a:r>
          </a:p>
        </xdr:txBody>
      </xdr:sp>
    </xdr:grpSp>
    <xdr:clientData/>
  </xdr:twoCellAnchor>
  <xdr:twoCellAnchor>
    <xdr:from>
      <xdr:col>10</xdr:col>
      <xdr:colOff>0</xdr:colOff>
      <xdr:row>16</xdr:row>
      <xdr:rowOff>114300</xdr:rowOff>
    </xdr:from>
    <xdr:to>
      <xdr:col>14</xdr:col>
      <xdr:colOff>50800</xdr:colOff>
      <xdr:row>19</xdr:row>
      <xdr:rowOff>177800</xdr:rowOff>
    </xdr:to>
    <xdr:sp macro="" textlink="">
      <xdr:nvSpPr>
        <xdr:cNvPr id="103327" name="CasellaDiTesto 5">
          <a:extLst>
            <a:ext uri="{FF2B5EF4-FFF2-40B4-BE49-F238E27FC236}">
              <a16:creationId xmlns:a16="http://schemas.microsoft.com/office/drawing/2014/main" id="{00000000-0008-0000-0100-00009F930100}"/>
            </a:ext>
          </a:extLst>
        </xdr:cNvPr>
        <xdr:cNvSpPr txBox="1">
          <a:spLocks noChangeArrowheads="1"/>
        </xdr:cNvSpPr>
      </xdr:nvSpPr>
      <xdr:spPr bwMode="auto">
        <a:xfrm>
          <a:off x="6731000" y="2730500"/>
          <a:ext cx="2743200" cy="749300"/>
        </a:xfrm>
        <a:prstGeom prst="rect">
          <a:avLst/>
        </a:prstGeom>
        <a:solidFill>
          <a:srgbClr val="CCFFFF"/>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36576" tIns="36576" rIns="36576" bIns="0" anchor="t" upright="1"/>
        <a:lstStyle/>
        <a:p>
          <a:pPr algn="ctr" rtl="0">
            <a:defRPr sz="1000"/>
          </a:pPr>
          <a:r>
            <a:rPr lang="it-IT" sz="1800" b="0" i="0" u="none" strike="noStrike" baseline="0">
              <a:solidFill>
                <a:srgbClr val="000000"/>
              </a:solidFill>
              <a:latin typeface="Calibri"/>
              <a:ea typeface="Calibri"/>
              <a:cs typeface="Calibri"/>
            </a:rPr>
            <a:t>Use this link to get definitions on the web</a:t>
          </a:r>
        </a:p>
      </xdr:txBody>
    </xdr:sp>
    <xdr:clientData/>
  </xdr:twoCellAnchor>
  <xdr:twoCellAnchor>
    <xdr:from>
      <xdr:col>12</xdr:col>
      <xdr:colOff>0</xdr:colOff>
      <xdr:row>10</xdr:row>
      <xdr:rowOff>101600</xdr:rowOff>
    </xdr:from>
    <xdr:to>
      <xdr:col>13</xdr:col>
      <xdr:colOff>635000</xdr:colOff>
      <xdr:row>16</xdr:row>
      <xdr:rowOff>114300</xdr:rowOff>
    </xdr:to>
    <xdr:cxnSp macro="">
      <xdr:nvCxnSpPr>
        <xdr:cNvPr id="103328" name="Connettore 2 6">
          <a:extLst>
            <a:ext uri="{FF2B5EF4-FFF2-40B4-BE49-F238E27FC236}">
              <a16:creationId xmlns:a16="http://schemas.microsoft.com/office/drawing/2014/main" id="{00000000-0008-0000-0100-0000A0930100}"/>
            </a:ext>
          </a:extLst>
        </xdr:cNvPr>
        <xdr:cNvCxnSpPr>
          <a:cxnSpLocks noChangeShapeType="1"/>
          <a:stCxn id="103327" idx="0"/>
          <a:endCxn id="4" idx="2"/>
        </xdr:cNvCxnSpPr>
      </xdr:nvCxnSpPr>
      <xdr:spPr bwMode="auto">
        <a:xfrm flipV="1">
          <a:off x="8077200" y="1625600"/>
          <a:ext cx="1308100" cy="1104900"/>
        </a:xfrm>
        <a:prstGeom prst="straightConnector1">
          <a:avLst/>
        </a:prstGeom>
        <a:noFill/>
        <a:ln w="25400">
          <a:solidFill>
            <a:srgbClr val="4F81BD"/>
          </a:solidFill>
          <a:round/>
          <a:headEnd/>
          <a:tailEnd type="arrow" w="med" len="med"/>
        </a:ln>
        <a:effectLst>
          <a:outerShdw blurRad="63500" dist="20000" dir="5400000" rotWithShape="0">
            <a:srgbClr val="000000">
              <a:alpha val="37999"/>
            </a:srgbClr>
          </a:outerShdw>
        </a:effectLst>
        <a:extLst>
          <a:ext uri="{909E8E84-426E-40dd-AFC4-6F175D3DCCD1}">
            <a14:hiddenFill xmlns:a14="http://schemas.microsoft.com/office/drawing/2010/main" xmlns="">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63</xdr:row>
      <xdr:rowOff>12700</xdr:rowOff>
    </xdr:from>
    <xdr:to>
      <xdr:col>15</xdr:col>
      <xdr:colOff>342900</xdr:colOff>
      <xdr:row>73</xdr:row>
      <xdr:rowOff>63500</xdr:rowOff>
    </xdr:to>
    <xdr:sp macro="" textlink="">
      <xdr:nvSpPr>
        <xdr:cNvPr id="54766" name="CasellaDiTesto 4">
          <a:extLst>
            <a:ext uri="{FF2B5EF4-FFF2-40B4-BE49-F238E27FC236}">
              <a16:creationId xmlns:a16="http://schemas.microsoft.com/office/drawing/2014/main" id="{00000000-0008-0000-0200-0000EED50000}"/>
            </a:ext>
          </a:extLst>
        </xdr:cNvPr>
        <xdr:cNvSpPr txBox="1">
          <a:spLocks noChangeArrowheads="1"/>
        </xdr:cNvSpPr>
      </xdr:nvSpPr>
      <xdr:spPr bwMode="auto">
        <a:xfrm>
          <a:off x="50800" y="11823700"/>
          <a:ext cx="15049500" cy="1701800"/>
        </a:xfrm>
        <a:prstGeom prst="rect">
          <a:avLst/>
        </a:prstGeom>
        <a:solidFill>
          <a:srgbClr val="FEFFBE"/>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36576" tIns="32004" rIns="36576" bIns="0" anchor="t" upright="1"/>
        <a:lstStyle/>
        <a:p>
          <a:pPr algn="just" rtl="0">
            <a:defRPr sz="1000"/>
          </a:pPr>
          <a:r>
            <a:rPr lang="it-IT" sz="1200" b="0" i="0" u="none" strike="noStrike" baseline="0">
              <a:solidFill>
                <a:srgbClr val="000000"/>
              </a:solidFill>
              <a:latin typeface="Calibri"/>
              <a:ea typeface="Calibri"/>
              <a:cs typeface="Calibri"/>
            </a:rPr>
            <a:t>The Income statement is a scorecard on the economic performance  that reflects when sales are made and when expenses are incurred. The income statement illustrates just how much your company makes or loses during the year by subtracting cost of goods and expenses from revenue to arrive at a net result (a profit or a loss). </a:t>
          </a:r>
        </a:p>
        <a:p>
          <a:pPr algn="just" rtl="0">
            <a:defRPr sz="1000"/>
          </a:pPr>
          <a:r>
            <a:rPr lang="it-IT" sz="1200" b="0" i="0" u="none" strike="noStrike" baseline="0">
              <a:solidFill>
                <a:srgbClr val="000000"/>
              </a:solidFill>
              <a:latin typeface="Calibri"/>
              <a:ea typeface="Calibri"/>
              <a:cs typeface="Calibri"/>
            </a:rPr>
            <a:t>The income statement is divided into two parts: the operating section and non-operating section. </a:t>
          </a:r>
        </a:p>
        <a:p>
          <a:pPr algn="just" rtl="0">
            <a:defRPr sz="1000"/>
          </a:pPr>
          <a:r>
            <a:rPr lang="it-IT" sz="1200" b="0" i="0" u="none" strike="noStrike" baseline="0">
              <a:solidFill>
                <a:srgbClr val="000000"/>
              </a:solidFill>
              <a:latin typeface="Calibri"/>
              <a:ea typeface="Calibri"/>
              <a:cs typeface="Calibri"/>
            </a:rPr>
            <a:t>The first section discloses information about revenues and expenses directly resulting by regular business operations:</a:t>
          </a:r>
        </a:p>
        <a:p>
          <a:pPr algn="just" rtl="0">
            <a:defRPr sz="1000"/>
          </a:pPr>
          <a:endParaRPr lang="it-IT" sz="1200" b="0" i="0" u="none" strike="noStrike" baseline="0">
            <a:solidFill>
              <a:srgbClr val="000000"/>
            </a:solidFill>
            <a:latin typeface="Calibri"/>
            <a:ea typeface="Calibri"/>
            <a:cs typeface="Calibri"/>
          </a:endParaRPr>
        </a:p>
        <a:p>
          <a:pPr algn="just" rtl="0">
            <a:defRPr sz="1000"/>
          </a:pPr>
          <a:endParaRPr lang="it-IT" sz="1200" b="0" i="0" u="none" strike="noStrike" baseline="0">
            <a:solidFill>
              <a:srgbClr val="000000"/>
            </a:solidFill>
            <a:latin typeface="Calibri"/>
            <a:ea typeface="Calibri"/>
            <a:cs typeface="Calibri"/>
          </a:endParaRPr>
        </a:p>
        <a:p>
          <a:pPr algn="just" rtl="0">
            <a:defRPr sz="1000"/>
          </a:pPr>
          <a:r>
            <a:rPr lang="it-IT" sz="1200" b="0" i="0" u="none" strike="noStrike" baseline="0">
              <a:solidFill>
                <a:srgbClr val="000000"/>
              </a:solidFill>
              <a:latin typeface="Calibri"/>
              <a:ea typeface="Calibri"/>
              <a:cs typeface="Calibri"/>
            </a:rPr>
            <a:t>The non-operating items section discloses revenue and expense information about activity not directly link to the core business:</a:t>
          </a:r>
        </a:p>
        <a:p>
          <a:pPr algn="just" rtl="0">
            <a:defRPr sz="1000"/>
          </a:pPr>
          <a:endParaRPr lang="it-IT" sz="1200" b="0" i="0" u="none" strike="noStrike" baseline="0">
            <a:solidFill>
              <a:srgbClr val="000000"/>
            </a:solidFill>
            <a:latin typeface="Calibri"/>
            <a:ea typeface="Calibri"/>
            <a:cs typeface="Calibri"/>
          </a:endParaRPr>
        </a:p>
        <a:p>
          <a:pPr algn="just" rtl="0">
            <a:defRPr sz="1000"/>
          </a:pPr>
          <a:endParaRPr lang="it-IT" sz="1200" b="0" i="0" u="none" strike="noStrike" baseline="0">
            <a:solidFill>
              <a:srgbClr val="000000"/>
            </a:solidFill>
            <a:latin typeface="Calibri"/>
            <a:ea typeface="Calibri"/>
            <a:cs typeface="Calibri"/>
          </a:endParaRPr>
        </a:p>
        <a:p>
          <a:pPr algn="just" rtl="0">
            <a:defRPr sz="1000"/>
          </a:pPr>
          <a:endParaRPr lang="it-IT" sz="1200" b="0" i="0" u="none" strike="noStrike" baseline="0">
            <a:solidFill>
              <a:srgbClr val="000000"/>
            </a:solidFill>
            <a:latin typeface="Calibri"/>
            <a:ea typeface="Calibri"/>
            <a:cs typeface="Calibri"/>
          </a:endParaRPr>
        </a:p>
      </xdr:txBody>
    </xdr:sp>
    <xdr:clientData/>
  </xdr:twoCellAnchor>
  <xdr:twoCellAnchor>
    <xdr:from>
      <xdr:col>7</xdr:col>
      <xdr:colOff>104775</xdr:colOff>
      <xdr:row>2</xdr:row>
      <xdr:rowOff>60325</xdr:rowOff>
    </xdr:from>
    <xdr:to>
      <xdr:col>15</xdr:col>
      <xdr:colOff>463535</xdr:colOff>
      <xdr:row>20</xdr:row>
      <xdr:rowOff>50812</xdr:rowOff>
    </xdr:to>
    <xdr:sp macro="" textlink="">
      <xdr:nvSpPr>
        <xdr:cNvPr id="54384" name="Text Box 112">
          <a:extLst>
            <a:ext uri="{FF2B5EF4-FFF2-40B4-BE49-F238E27FC236}">
              <a16:creationId xmlns:a16="http://schemas.microsoft.com/office/drawing/2014/main" id="{00000000-0008-0000-0200-000070D40000}"/>
            </a:ext>
          </a:extLst>
        </xdr:cNvPr>
        <xdr:cNvSpPr txBox="1">
          <a:spLocks noChangeArrowheads="1"/>
        </xdr:cNvSpPr>
      </xdr:nvSpPr>
      <xdr:spPr bwMode="auto">
        <a:xfrm>
          <a:off x="9461500" y="469900"/>
          <a:ext cx="5765800" cy="32639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it-IT" sz="900" b="1" i="0" u="none" strike="noStrike" baseline="0">
              <a:solidFill>
                <a:srgbClr val="000000"/>
              </a:solidFill>
              <a:latin typeface="Arial"/>
              <a:ea typeface="Arial"/>
              <a:cs typeface="Arial"/>
            </a:rPr>
            <a:t>Production Value</a:t>
          </a:r>
          <a:endParaRPr lang="it-IT" sz="900" b="0" i="0" u="none" strike="noStrike" baseline="0">
            <a:solidFill>
              <a:srgbClr val="000000"/>
            </a:solidFill>
            <a:latin typeface="Arial"/>
            <a:ea typeface="Arial"/>
            <a:cs typeface="Arial"/>
          </a:endParaRPr>
        </a:p>
        <a:p>
          <a:pPr algn="l" rtl="0">
            <a:defRPr sz="1000"/>
          </a:pPr>
          <a:r>
            <a:rPr lang="it-IT" sz="900" b="0" i="0" u="none" strike="noStrike" baseline="0">
              <a:solidFill>
                <a:srgbClr val="000000"/>
              </a:solidFill>
              <a:latin typeface="Arial"/>
              <a:ea typeface="Arial"/>
              <a:cs typeface="Arial"/>
            </a:rPr>
            <a:t>Revenues from sales and services: includes all the income generated by the business</a:t>
          </a:r>
        </a:p>
        <a:p>
          <a:pPr algn="l" rtl="0">
            <a:defRPr sz="1000"/>
          </a:pPr>
          <a:r>
            <a:rPr lang="it-IT" sz="900" b="0" i="0" u="none" strike="noStrike" baseline="0">
              <a:solidFill>
                <a:srgbClr val="000000"/>
              </a:solidFill>
              <a:latin typeface="Arial"/>
              <a:ea typeface="Arial"/>
              <a:cs typeface="Arial"/>
            </a:rPr>
            <a:t>Change in work in progress and finished goods: </a:t>
          </a:r>
        </a:p>
        <a:p>
          <a:pPr algn="l" rtl="0">
            <a:defRPr sz="1000"/>
          </a:pPr>
          <a:r>
            <a:rPr lang="it-IT" sz="900" b="0" i="0" u="none" strike="noStrike" baseline="0">
              <a:solidFill>
                <a:srgbClr val="000000"/>
              </a:solidFill>
              <a:latin typeface="Arial"/>
              <a:ea typeface="Arial"/>
              <a:cs typeface="Arial"/>
            </a:rPr>
            <a:t>Changes in inventories (including work-in- progress) consist of changes in: </a:t>
          </a:r>
        </a:p>
        <a:p>
          <a:pPr algn="l" rtl="0">
            <a:defRPr sz="1000"/>
          </a:pPr>
          <a:r>
            <a:rPr lang="it-IT" sz="900" b="0" i="0" u="none" strike="noStrike" baseline="0">
              <a:solidFill>
                <a:srgbClr val="000000"/>
              </a:solidFill>
              <a:latin typeface="Arial"/>
              <a:ea typeface="Arial"/>
              <a:cs typeface="Arial"/>
            </a:rPr>
            <a:t> 1 stocks of outputs that are still held by the units that produced them prior to their being further processed, sold, delivered to other units or used in other ways;  </a:t>
          </a:r>
        </a:p>
        <a:p>
          <a:pPr algn="l" rtl="0">
            <a:defRPr sz="1000"/>
          </a:pPr>
          <a:r>
            <a:rPr lang="it-IT" sz="900" b="0" i="0" u="none" strike="noStrike" baseline="0">
              <a:solidFill>
                <a:srgbClr val="000000"/>
              </a:solidFill>
              <a:latin typeface="Arial"/>
              <a:ea typeface="Arial"/>
              <a:cs typeface="Arial"/>
            </a:rPr>
            <a:t> 2. stocks of products acquired from other units that are intended to be used for intermediate consumption or for resale without further processing; they are measured by the value of the entries into inventories less the value of withdrawals and the value of any recurrent losses of goods held in inventories. </a:t>
          </a:r>
        </a:p>
        <a:p>
          <a:pPr algn="l" rtl="0">
            <a:defRPr sz="1000"/>
          </a:pPr>
          <a:r>
            <a:rPr lang="it-IT" sz="900" b="0" i="0" u="none" strike="noStrike" baseline="0">
              <a:solidFill>
                <a:srgbClr val="000000"/>
              </a:solidFill>
              <a:latin typeface="Arial"/>
              <a:ea typeface="Arial"/>
              <a:cs typeface="Arial"/>
            </a:rPr>
            <a:t>Other operating income: includes all the other miscellaneous income</a:t>
          </a:r>
        </a:p>
        <a:p>
          <a:pPr algn="l" rtl="0">
            <a:defRPr sz="1000"/>
          </a:pPr>
          <a:r>
            <a:rPr lang="it-IT" sz="900" b="1" i="0" u="none" strike="noStrike" baseline="0">
              <a:solidFill>
                <a:srgbClr val="000000"/>
              </a:solidFill>
              <a:latin typeface="Arial"/>
              <a:ea typeface="Arial"/>
              <a:cs typeface="Arial"/>
            </a:rPr>
            <a:t>Production Costs</a:t>
          </a:r>
          <a:endParaRPr lang="it-IT" sz="900" b="0" i="0" u="none" strike="noStrike" baseline="0">
            <a:solidFill>
              <a:srgbClr val="000000"/>
            </a:solidFill>
            <a:latin typeface="Arial"/>
            <a:ea typeface="Arial"/>
            <a:cs typeface="Arial"/>
          </a:endParaRPr>
        </a:p>
        <a:p>
          <a:pPr algn="l" rtl="0">
            <a:defRPr sz="1000"/>
          </a:pPr>
          <a:r>
            <a:rPr lang="it-IT" sz="900" b="0" i="0" u="none" strike="noStrike" baseline="0">
              <a:solidFill>
                <a:srgbClr val="000000"/>
              </a:solidFill>
              <a:latin typeface="Arial"/>
              <a:ea typeface="Arial"/>
              <a:cs typeface="Arial"/>
            </a:rPr>
            <a:t>Purchases of goods: Includes all the costs related to the sales of products</a:t>
          </a:r>
        </a:p>
        <a:p>
          <a:pPr algn="l" rtl="0">
            <a:defRPr sz="1000"/>
          </a:pPr>
          <a:r>
            <a:rPr lang="it-IT" sz="900" b="0" i="0" u="none" strike="noStrike" baseline="0">
              <a:solidFill>
                <a:srgbClr val="000000"/>
              </a:solidFill>
              <a:latin typeface="Arial"/>
              <a:ea typeface="Arial"/>
              <a:cs typeface="Arial"/>
            </a:rPr>
            <a:t>Raw materials: Includes all the costs related to the sales of products in inventories</a:t>
          </a:r>
        </a:p>
        <a:p>
          <a:pPr algn="l" rtl="0">
            <a:defRPr sz="1000"/>
          </a:pPr>
          <a:r>
            <a:rPr lang="it-IT" sz="900" b="0" i="0" u="none" strike="noStrike" baseline="0">
              <a:solidFill>
                <a:srgbClr val="000000"/>
              </a:solidFill>
              <a:latin typeface="Arial"/>
              <a:ea typeface="Arial"/>
              <a:cs typeface="Arial"/>
            </a:rPr>
            <a:t>Other operating expenses: Operating expenses include all overhead and labor expenses associated with the operations of the business</a:t>
          </a:r>
        </a:p>
        <a:p>
          <a:pPr algn="l" rtl="0">
            <a:defRPr sz="1000"/>
          </a:pPr>
          <a:r>
            <a:rPr lang="it-IT" sz="900" b="1" i="0" u="none" strike="noStrike" baseline="0">
              <a:solidFill>
                <a:srgbClr val="000000"/>
              </a:solidFill>
              <a:latin typeface="Arial"/>
              <a:ea typeface="Arial"/>
              <a:cs typeface="Arial"/>
            </a:rPr>
            <a:t>Contribution Margin</a:t>
          </a:r>
          <a:endParaRPr lang="it-IT" sz="900" b="0" i="0" u="none" strike="noStrike" baseline="0">
            <a:solidFill>
              <a:srgbClr val="000000"/>
            </a:solidFill>
            <a:latin typeface="Arial"/>
            <a:ea typeface="Arial"/>
            <a:cs typeface="Arial"/>
          </a:endParaRPr>
        </a:p>
        <a:p>
          <a:pPr algn="l" rtl="0">
            <a:defRPr sz="1000"/>
          </a:pPr>
          <a:r>
            <a:rPr lang="it-IT" sz="900" b="0" i="0" u="none" strike="noStrike" baseline="0">
              <a:solidFill>
                <a:srgbClr val="000000"/>
              </a:solidFill>
              <a:latin typeface="Arial"/>
              <a:ea typeface="Arial"/>
              <a:cs typeface="Arial"/>
            </a:rPr>
            <a:t>It is the difference between production value and costs. Contribution margin can be expressed in absolute value, as a percentage, or both. As a percentage, the Contribution Margin is always stated as a percentage of revenue</a:t>
          </a:r>
          <a:endParaRPr lang="it-IT" sz="1000" b="0" i="0" u="none" strike="noStrike" baseline="0">
            <a:solidFill>
              <a:srgbClr val="000000"/>
            </a:solidFill>
            <a:latin typeface="Arial"/>
            <a:ea typeface="Arial"/>
            <a:cs typeface="Arial"/>
          </a:endParaRPr>
        </a:p>
        <a:p>
          <a:pPr algn="l" rtl="0">
            <a:defRPr sz="1000"/>
          </a:pPr>
          <a:endParaRPr lang="it-IT" sz="1000" b="0" i="0" u="none" strike="noStrike" baseline="0">
            <a:solidFill>
              <a:srgbClr val="000000"/>
            </a:solidFill>
            <a:latin typeface="Arial"/>
            <a:ea typeface="Arial"/>
            <a:cs typeface="Arial"/>
          </a:endParaRPr>
        </a:p>
      </xdr:txBody>
    </xdr:sp>
    <xdr:clientData/>
  </xdr:twoCellAnchor>
  <xdr:twoCellAnchor editAs="oneCell">
    <xdr:from>
      <xdr:col>7</xdr:col>
      <xdr:colOff>76200</xdr:colOff>
      <xdr:row>19</xdr:row>
      <xdr:rowOff>114300</xdr:rowOff>
    </xdr:from>
    <xdr:to>
      <xdr:col>16</xdr:col>
      <xdr:colOff>419100</xdr:colOff>
      <xdr:row>33</xdr:row>
      <xdr:rowOff>101600</xdr:rowOff>
    </xdr:to>
    <xdr:sp macro="" textlink="">
      <xdr:nvSpPr>
        <xdr:cNvPr id="54778" name="Text Box 113">
          <a:extLst>
            <a:ext uri="{FF2B5EF4-FFF2-40B4-BE49-F238E27FC236}">
              <a16:creationId xmlns:a16="http://schemas.microsoft.com/office/drawing/2014/main" id="{00000000-0008-0000-0200-0000FAD50000}"/>
            </a:ext>
          </a:extLst>
        </xdr:cNvPr>
        <xdr:cNvSpPr txBox="1">
          <a:spLocks noChangeArrowheads="1"/>
        </xdr:cNvSpPr>
      </xdr:nvSpPr>
      <xdr:spPr bwMode="auto">
        <a:xfrm>
          <a:off x="9423400" y="3619500"/>
          <a:ext cx="6426200" cy="25527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it-IT"/>
        </a:p>
      </xdr:txBody>
    </xdr:sp>
    <xdr:clientData/>
  </xdr:twoCellAnchor>
  <xdr:twoCellAnchor>
    <xdr:from>
      <xdr:col>7</xdr:col>
      <xdr:colOff>146050</xdr:colOff>
      <xdr:row>21</xdr:row>
      <xdr:rowOff>161925</xdr:rowOff>
    </xdr:from>
    <xdr:to>
      <xdr:col>15</xdr:col>
      <xdr:colOff>476192</xdr:colOff>
      <xdr:row>46</xdr:row>
      <xdr:rowOff>85747</xdr:rowOff>
    </xdr:to>
    <xdr:sp macro="" textlink="">
      <xdr:nvSpPr>
        <xdr:cNvPr id="54389" name="Text Box 117">
          <a:extLst>
            <a:ext uri="{FF2B5EF4-FFF2-40B4-BE49-F238E27FC236}">
              <a16:creationId xmlns:a16="http://schemas.microsoft.com/office/drawing/2014/main" id="{00000000-0008-0000-0200-000075D40000}"/>
            </a:ext>
          </a:extLst>
        </xdr:cNvPr>
        <xdr:cNvSpPr txBox="1">
          <a:spLocks noChangeArrowheads="1"/>
        </xdr:cNvSpPr>
      </xdr:nvSpPr>
      <xdr:spPr bwMode="auto">
        <a:xfrm>
          <a:off x="9499600" y="4025900"/>
          <a:ext cx="5740400" cy="430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it-IT" sz="900" b="1" i="0" u="none" strike="noStrike" baseline="0">
              <a:solidFill>
                <a:srgbClr val="000000"/>
              </a:solidFill>
              <a:latin typeface="Arial"/>
              <a:ea typeface="Arial"/>
              <a:cs typeface="Arial"/>
            </a:rPr>
            <a:t>Other Costs</a:t>
          </a:r>
          <a:endParaRPr lang="it-IT" sz="900" b="0" i="0" u="none" strike="noStrike" baseline="0">
            <a:solidFill>
              <a:srgbClr val="000000"/>
            </a:solidFill>
            <a:latin typeface="Arial"/>
            <a:ea typeface="Arial"/>
            <a:cs typeface="Arial"/>
          </a:endParaRPr>
        </a:p>
        <a:p>
          <a:pPr algn="l" rtl="0">
            <a:defRPr sz="1000"/>
          </a:pPr>
          <a:r>
            <a:rPr lang="it-IT" sz="900" b="0" i="0" u="none" strike="noStrike" baseline="0">
              <a:solidFill>
                <a:srgbClr val="000000"/>
              </a:solidFill>
              <a:latin typeface="Arial"/>
              <a:ea typeface="Arial"/>
              <a:cs typeface="Arial"/>
            </a:rPr>
            <a:t>Services: costs related to contracts for work, procurement, transportation, office, agency, shipping, etc. generally under obligations to do</a:t>
          </a:r>
        </a:p>
        <a:p>
          <a:pPr algn="l" rtl="0">
            <a:defRPr sz="1000"/>
          </a:pPr>
          <a:r>
            <a:rPr lang="it-IT" sz="900" b="0" i="0" u="none" strike="noStrike" baseline="0">
              <a:solidFill>
                <a:srgbClr val="000000"/>
              </a:solidFill>
              <a:latin typeface="Arial"/>
              <a:ea typeface="Arial"/>
              <a:cs typeface="Arial"/>
            </a:rPr>
            <a:t>Rents: rental costs paid to third parties</a:t>
          </a:r>
        </a:p>
        <a:p>
          <a:pPr algn="l" rtl="0">
            <a:defRPr sz="1000"/>
          </a:pPr>
          <a:r>
            <a:rPr lang="it-IT" sz="900" b="0" i="0" u="none" strike="noStrike" baseline="0">
              <a:solidFill>
                <a:srgbClr val="000000"/>
              </a:solidFill>
              <a:latin typeface="Arial"/>
              <a:ea typeface="Arial"/>
              <a:cs typeface="Arial"/>
            </a:rPr>
            <a:t>Personnel costs: Personnel costs are defined as the total remuneration, in cash or in kind, payable by an employer to an employee in return for work done by the latter during the reference period. Personnel costs also include taxes and employees’ social security contributions retained by the unit as well as the employer’s compulsory and voluntary social contributions.</a:t>
          </a:r>
        </a:p>
        <a:p>
          <a:pPr algn="l" rtl="0">
            <a:defRPr sz="1000"/>
          </a:pPr>
          <a:r>
            <a:rPr lang="it-IT" sz="900" b="0" i="0" u="none" strike="noStrike" baseline="0">
              <a:solidFill>
                <a:srgbClr val="000000"/>
              </a:solidFill>
              <a:latin typeface="Arial"/>
              <a:ea typeface="Arial"/>
              <a:cs typeface="Arial"/>
            </a:rPr>
            <a:t>Other not operating expenses: not operating expenses include all overhead and labor expenses not associated with the operations of the business </a:t>
          </a:r>
        </a:p>
        <a:p>
          <a:pPr algn="l" rtl="0">
            <a:defRPr sz="1000"/>
          </a:pPr>
          <a:r>
            <a:rPr lang="it-IT" sz="900" b="0" i="0" u="none" strike="noStrike" baseline="0">
              <a:solidFill>
                <a:srgbClr val="000000"/>
              </a:solidFill>
              <a:latin typeface="Arial"/>
              <a:ea typeface="Arial"/>
              <a:cs typeface="Arial"/>
            </a:rPr>
            <a:t>Earnings before interest, taxes, depreciation and amortization (EBITDA)</a:t>
          </a:r>
        </a:p>
        <a:p>
          <a:pPr algn="l" rtl="0">
            <a:defRPr sz="1000"/>
          </a:pPr>
          <a:r>
            <a:rPr lang="it-IT" sz="900" b="0" i="0" u="none" strike="noStrike" baseline="0">
              <a:solidFill>
                <a:srgbClr val="000000"/>
              </a:solidFill>
              <a:latin typeface="Arial"/>
              <a:ea typeface="Arial"/>
              <a:cs typeface="Arial"/>
            </a:rPr>
            <a:t>It is the difference between production value and costs. Contribution margin can be expressed in absolute value, as a percentage, or both. As a percentage, the Contribution Margin is always stated as a percentage of revenue</a:t>
          </a:r>
        </a:p>
        <a:p>
          <a:pPr algn="l" rtl="0">
            <a:defRPr sz="1000"/>
          </a:pPr>
          <a:r>
            <a:rPr lang="it-IT" sz="900" b="0" i="0" u="none" strike="noStrike" baseline="0">
              <a:solidFill>
                <a:srgbClr val="000000"/>
              </a:solidFill>
              <a:latin typeface="Arial"/>
              <a:ea typeface="Arial"/>
              <a:cs typeface="Arial"/>
            </a:rPr>
            <a:t>Leasing capital </a:t>
          </a:r>
        </a:p>
        <a:p>
          <a:pPr algn="l" rtl="0">
            <a:defRPr sz="1000"/>
          </a:pPr>
          <a:r>
            <a:rPr lang="it-IT" sz="900" b="0" i="0" u="none" strike="noStrike" baseline="0">
              <a:solidFill>
                <a:srgbClr val="000000"/>
              </a:solidFill>
              <a:latin typeface="Arial"/>
              <a:ea typeface="Arial"/>
              <a:cs typeface="Arial"/>
            </a:rPr>
            <a:t>Amortisations and depreciations: depreciation reflects the decrease in value of capital assets used to generate income</a:t>
          </a:r>
          <a:endParaRPr lang="it-IT" sz="1000" b="0" i="0" u="none" strike="noStrike" baseline="0">
            <a:solidFill>
              <a:srgbClr val="000000"/>
            </a:solidFill>
            <a:latin typeface="Arial"/>
            <a:ea typeface="Arial"/>
            <a:cs typeface="Arial"/>
          </a:endParaRPr>
        </a:p>
        <a:p>
          <a:pPr algn="l" rtl="0">
            <a:defRPr sz="1000"/>
          </a:pPr>
          <a:r>
            <a:rPr lang="it-IT" sz="900" b="0" i="0" u="none" strike="noStrike" baseline="0">
              <a:solidFill>
                <a:srgbClr val="000000"/>
              </a:solidFill>
              <a:latin typeface="Arial"/>
              <a:ea typeface="Arial"/>
              <a:cs typeface="Arial"/>
            </a:rPr>
            <a:t>Accruals: Accounts on a balance sheet that represent liabilities and non-cash-based assets used in accrual-based accounting. These accounts include, among many others, accounts payable, accounts receivable, goodwill, future tax liability and future interest expense</a:t>
          </a:r>
        </a:p>
        <a:p>
          <a:pPr algn="l" rtl="0">
            <a:defRPr sz="1000"/>
          </a:pPr>
          <a:r>
            <a:rPr lang="it-IT" sz="900" b="0" i="0" u="none" strike="noStrike" baseline="0">
              <a:solidFill>
                <a:srgbClr val="000000"/>
              </a:solidFill>
              <a:latin typeface="Arial"/>
              <a:ea typeface="Arial"/>
              <a:cs typeface="Arial"/>
            </a:rPr>
            <a:t>Earnings before interest and taxes (EBIT)</a:t>
          </a:r>
        </a:p>
        <a:p>
          <a:pPr algn="l" rtl="0">
            <a:defRPr sz="1000"/>
          </a:pPr>
          <a:r>
            <a:rPr lang="it-IT" sz="900" b="0" i="0" u="none" strike="noStrike" baseline="0">
              <a:solidFill>
                <a:srgbClr val="000000"/>
              </a:solidFill>
              <a:latin typeface="Arial"/>
              <a:ea typeface="Arial"/>
              <a:cs typeface="Arial"/>
            </a:rPr>
            <a:t>It is a measure of a firm's profit that excludes interest and income tax expenses. EBIT shows the capacity of a business to repay its obligations.</a:t>
          </a:r>
        </a:p>
        <a:p>
          <a:pPr algn="l" rtl="0">
            <a:defRPr sz="1000"/>
          </a:pPr>
          <a:r>
            <a:rPr lang="it-IT" sz="900" b="0" i="0" u="none" strike="noStrike" baseline="0">
              <a:solidFill>
                <a:srgbClr val="000000"/>
              </a:solidFill>
              <a:latin typeface="Arial"/>
              <a:ea typeface="Arial"/>
              <a:cs typeface="Arial"/>
            </a:rPr>
            <a:t>Proceeds for projects from:</a:t>
          </a:r>
        </a:p>
        <a:p>
          <a:pPr algn="l" rtl="0">
            <a:defRPr sz="1000"/>
          </a:pPr>
          <a:r>
            <a:rPr lang="it-IT" sz="900" b="0" i="0" u="none" strike="noStrike" baseline="0">
              <a:solidFill>
                <a:srgbClr val="000000"/>
              </a:solidFill>
              <a:latin typeface="Arial"/>
              <a:ea typeface="Arial"/>
              <a:cs typeface="Arial"/>
            </a:rPr>
            <a:t>Private donors: income from private donors;</a:t>
          </a:r>
        </a:p>
        <a:p>
          <a:pPr algn="l" rtl="0">
            <a:defRPr sz="1000"/>
          </a:pPr>
          <a:r>
            <a:rPr lang="it-IT" sz="900" b="0" i="0" u="none" strike="noStrike" baseline="0">
              <a:solidFill>
                <a:srgbClr val="000000"/>
              </a:solidFill>
              <a:latin typeface="Arial"/>
              <a:ea typeface="Arial"/>
              <a:cs typeface="Arial"/>
            </a:rPr>
            <a:t>Governmental agencies: income from public agencies;</a:t>
          </a:r>
        </a:p>
        <a:p>
          <a:pPr algn="l" rtl="0">
            <a:defRPr sz="1000"/>
          </a:pPr>
          <a:r>
            <a:rPr lang="it-IT" sz="900" b="0" i="0" u="none" strike="noStrike" baseline="0">
              <a:solidFill>
                <a:srgbClr val="000000"/>
              </a:solidFill>
              <a:latin typeface="Arial"/>
              <a:ea typeface="Arial"/>
              <a:cs typeface="Arial"/>
            </a:rPr>
            <a:t>International organizations: income from international organizations.</a:t>
          </a:r>
        </a:p>
      </xdr:txBody>
    </xdr:sp>
    <xdr:clientData/>
  </xdr:twoCellAnchor>
  <xdr:twoCellAnchor>
    <xdr:from>
      <xdr:col>7</xdr:col>
      <xdr:colOff>142875</xdr:colOff>
      <xdr:row>47</xdr:row>
      <xdr:rowOff>38100</xdr:rowOff>
    </xdr:from>
    <xdr:to>
      <xdr:col>15</xdr:col>
      <xdr:colOff>476261</xdr:colOff>
      <xdr:row>60</xdr:row>
      <xdr:rowOff>34911</xdr:rowOff>
    </xdr:to>
    <xdr:sp macro="" textlink="">
      <xdr:nvSpPr>
        <xdr:cNvPr id="54390" name="Text Box 118">
          <a:extLst>
            <a:ext uri="{FF2B5EF4-FFF2-40B4-BE49-F238E27FC236}">
              <a16:creationId xmlns:a16="http://schemas.microsoft.com/office/drawing/2014/main" id="{00000000-0008-0000-0200-000076D40000}"/>
            </a:ext>
          </a:extLst>
        </xdr:cNvPr>
        <xdr:cNvSpPr txBox="1">
          <a:spLocks noChangeArrowheads="1"/>
        </xdr:cNvSpPr>
      </xdr:nvSpPr>
      <xdr:spPr bwMode="auto">
        <a:xfrm>
          <a:off x="9486900" y="8470900"/>
          <a:ext cx="5753100" cy="2870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it-IT" sz="900" b="0" i="0" u="none" strike="noStrike" baseline="0">
              <a:solidFill>
                <a:srgbClr val="000000"/>
              </a:solidFill>
              <a:latin typeface="Arial"/>
              <a:ea typeface="Arial"/>
              <a:cs typeface="Arial"/>
            </a:rPr>
            <a:t>Outlay for projects:</a:t>
          </a:r>
        </a:p>
        <a:p>
          <a:pPr algn="l" rtl="0">
            <a:defRPr sz="1000"/>
          </a:pPr>
          <a:r>
            <a:rPr lang="it-IT" sz="900" b="0" i="0" u="none" strike="noStrike" baseline="0">
              <a:solidFill>
                <a:srgbClr val="000000"/>
              </a:solidFill>
              <a:latin typeface="Arial"/>
              <a:ea typeface="Arial"/>
              <a:cs typeface="Arial"/>
            </a:rPr>
            <a:t>it is necessary to split the expenses into the different project</a:t>
          </a:r>
        </a:p>
        <a:p>
          <a:pPr algn="l" rtl="0">
            <a:defRPr sz="1000"/>
          </a:pPr>
          <a:r>
            <a:rPr lang="it-IT" sz="900" b="0" i="0" u="none" strike="noStrike" baseline="0">
              <a:solidFill>
                <a:srgbClr val="000000"/>
              </a:solidFill>
              <a:latin typeface="Arial"/>
              <a:ea typeface="Arial"/>
              <a:cs typeface="Arial"/>
            </a:rPr>
            <a:t>Financial income and expenses</a:t>
          </a:r>
        </a:p>
        <a:p>
          <a:pPr algn="l" rtl="0">
            <a:defRPr sz="1000"/>
          </a:pPr>
          <a:r>
            <a:rPr lang="it-IT" sz="900" b="0" i="0" u="none" strike="noStrike" baseline="0">
              <a:solidFill>
                <a:srgbClr val="000000"/>
              </a:solidFill>
              <a:latin typeface="Arial"/>
              <a:ea typeface="Arial"/>
              <a:cs typeface="Arial"/>
            </a:rPr>
            <a:t>Financial income from investments: Financial income is the revenue generated by the temporary surplus cash invested in short-term investments and marketable securities. It also includes foreign exchange gains on debt and write-backs on provisions and charges related to financial operations.</a:t>
          </a:r>
        </a:p>
        <a:p>
          <a:pPr algn="l" rtl="0">
            <a:defRPr sz="1000"/>
          </a:pPr>
          <a:r>
            <a:rPr lang="it-IT" sz="900" b="0" i="0" u="none" strike="noStrike" baseline="0">
              <a:solidFill>
                <a:srgbClr val="000000"/>
              </a:solidFill>
              <a:latin typeface="Arial"/>
              <a:ea typeface="Arial"/>
              <a:cs typeface="Arial"/>
            </a:rPr>
            <a:t>Income from banks account’s interests: Interest includes all interest payable for debts, both short-term and long-term.</a:t>
          </a:r>
        </a:p>
        <a:p>
          <a:pPr algn="l" rtl="0">
            <a:defRPr sz="1000"/>
          </a:pPr>
          <a:r>
            <a:rPr lang="it-IT" sz="900" b="0" i="0" u="none" strike="noStrike" baseline="0">
              <a:solidFill>
                <a:srgbClr val="000000"/>
              </a:solidFill>
              <a:latin typeface="Arial"/>
              <a:ea typeface="Arial"/>
              <a:cs typeface="Arial"/>
            </a:rPr>
            <a:t>Interests and other financial expenses: the amount reported for expenses for borrowed money</a:t>
          </a:r>
        </a:p>
        <a:p>
          <a:pPr algn="l" rtl="0">
            <a:lnSpc>
              <a:spcPts val="1000"/>
            </a:lnSpc>
            <a:defRPr sz="1000"/>
          </a:pPr>
          <a:r>
            <a:rPr lang="it-IT" sz="900" b="0" i="0" u="none" strike="noStrike" baseline="0">
              <a:solidFill>
                <a:srgbClr val="000000"/>
              </a:solidFill>
              <a:latin typeface="Arial"/>
              <a:ea typeface="Arial"/>
              <a:cs typeface="Arial"/>
            </a:rPr>
            <a:t>Gains and losses on foreign currency translation: gains and losses resulting from the translation of the functional currency into local currency</a:t>
          </a:r>
        </a:p>
        <a:p>
          <a:pPr algn="l" rtl="0">
            <a:defRPr sz="1000"/>
          </a:pPr>
          <a:r>
            <a:rPr lang="it-IT" sz="900" b="0" i="0" u="none" strike="noStrike" baseline="0">
              <a:solidFill>
                <a:srgbClr val="000000"/>
              </a:solidFill>
              <a:latin typeface="Arial"/>
              <a:ea typeface="Arial"/>
              <a:cs typeface="Arial"/>
            </a:rPr>
            <a:t>Net adjustments to the carrying value of financial assets</a:t>
          </a:r>
        </a:p>
        <a:p>
          <a:pPr algn="l" rtl="0">
            <a:defRPr sz="1000"/>
          </a:pPr>
          <a:r>
            <a:rPr lang="it-IT" sz="900" b="0" i="0" u="none" strike="noStrike" baseline="0">
              <a:solidFill>
                <a:srgbClr val="000000"/>
              </a:solidFill>
              <a:latin typeface="Arial"/>
              <a:ea typeface="Arial"/>
              <a:cs typeface="Arial"/>
            </a:rPr>
            <a:t>Net extraordinary gains and losses: gains and losses resulting from extraordinary activities</a:t>
          </a:r>
        </a:p>
        <a:p>
          <a:pPr algn="l" rtl="0">
            <a:lnSpc>
              <a:spcPts val="1000"/>
            </a:lnSpc>
            <a:defRPr sz="1000"/>
          </a:pPr>
          <a:r>
            <a:rPr lang="it-IT" sz="900" b="0" i="0" u="none" strike="noStrike" baseline="0">
              <a:solidFill>
                <a:srgbClr val="000000"/>
              </a:solidFill>
              <a:latin typeface="Arial"/>
              <a:ea typeface="Arial"/>
              <a:cs typeface="Arial"/>
            </a:rPr>
            <a:t>Net income before income taxes </a:t>
          </a:r>
        </a:p>
        <a:p>
          <a:pPr algn="l" rtl="0">
            <a:defRPr sz="1000"/>
          </a:pPr>
          <a:r>
            <a:rPr lang="it-IT" sz="900" b="0" i="0" u="none" strike="noStrike" baseline="0">
              <a:solidFill>
                <a:srgbClr val="000000"/>
              </a:solidFill>
              <a:latin typeface="Arial"/>
              <a:ea typeface="Arial"/>
              <a:cs typeface="Arial"/>
            </a:rPr>
            <a:t>Current and deferred income taxes: Taxes includes all taxes on the business</a:t>
          </a:r>
        </a:p>
        <a:p>
          <a:pPr algn="l" rtl="0">
            <a:lnSpc>
              <a:spcPts val="1000"/>
            </a:lnSpc>
            <a:defRPr sz="1000"/>
          </a:pPr>
          <a:r>
            <a:rPr lang="it-IT" sz="900" b="0" i="0" u="none" strike="noStrike" baseline="0">
              <a:solidFill>
                <a:srgbClr val="000000"/>
              </a:solidFill>
              <a:latin typeface="Arial"/>
              <a:ea typeface="Arial"/>
              <a:cs typeface="Arial"/>
            </a:rPr>
            <a:t>Net income or Loss: Net profit after taxes shows the company's real bottom line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76</xdr:row>
      <xdr:rowOff>12700</xdr:rowOff>
    </xdr:from>
    <xdr:to>
      <xdr:col>12</xdr:col>
      <xdr:colOff>419100</xdr:colOff>
      <xdr:row>82</xdr:row>
      <xdr:rowOff>38100</xdr:rowOff>
    </xdr:to>
    <xdr:sp macro="" textlink="">
      <xdr:nvSpPr>
        <xdr:cNvPr id="66961" name="CasellaDiTesto 1">
          <a:extLst>
            <a:ext uri="{FF2B5EF4-FFF2-40B4-BE49-F238E27FC236}">
              <a16:creationId xmlns:a16="http://schemas.microsoft.com/office/drawing/2014/main" id="{00000000-0008-0000-0300-000091050100}"/>
            </a:ext>
          </a:extLst>
        </xdr:cNvPr>
        <xdr:cNvSpPr txBox="1">
          <a:spLocks noChangeArrowheads="1"/>
        </xdr:cNvSpPr>
      </xdr:nvSpPr>
      <xdr:spPr bwMode="auto">
        <a:xfrm>
          <a:off x="63500" y="13398500"/>
          <a:ext cx="11353800" cy="1092200"/>
        </a:xfrm>
        <a:prstGeom prst="rect">
          <a:avLst/>
        </a:prstGeom>
        <a:solidFill>
          <a:srgbClr val="FCD5B5"/>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36576" tIns="32004" rIns="36576" bIns="0" anchor="t" upright="1"/>
        <a:lstStyle/>
        <a:p>
          <a:pPr algn="just" rtl="0">
            <a:lnSpc>
              <a:spcPts val="1300"/>
            </a:lnSpc>
            <a:defRPr sz="1000"/>
          </a:pPr>
          <a:r>
            <a:rPr lang="it-IT" sz="1200" b="0" i="0" u="none" strike="noStrike" baseline="0">
              <a:solidFill>
                <a:srgbClr val="000000"/>
              </a:solidFill>
              <a:latin typeface="Calibri"/>
              <a:ea typeface="Calibri"/>
              <a:cs typeface="Calibri"/>
            </a:rPr>
            <a:t>The balance sheet uses information from all of the financial models (Income Statement and Cash Flow) of the business plan. It is more or less a summary of all the preceding financial information broken down into three areas:</a:t>
          </a:r>
        </a:p>
        <a:p>
          <a:pPr algn="just" rtl="0">
            <a:lnSpc>
              <a:spcPts val="1300"/>
            </a:lnSpc>
            <a:defRPr sz="1000"/>
          </a:pPr>
          <a:r>
            <a:rPr lang="it-IT" sz="1200" b="0" i="0" u="none" strike="noStrike" baseline="0">
              <a:solidFill>
                <a:srgbClr val="000000"/>
              </a:solidFill>
              <a:latin typeface="Calibri"/>
              <a:ea typeface="Calibri"/>
              <a:cs typeface="Calibri"/>
            </a:rPr>
            <a:t>Assets</a:t>
          </a:r>
        </a:p>
        <a:p>
          <a:pPr algn="just" rtl="0">
            <a:lnSpc>
              <a:spcPts val="1300"/>
            </a:lnSpc>
            <a:defRPr sz="1000"/>
          </a:pPr>
          <a:r>
            <a:rPr lang="it-IT" sz="1200" b="0" i="0" u="none" strike="noStrike" baseline="0">
              <a:solidFill>
                <a:srgbClr val="000000"/>
              </a:solidFill>
              <a:latin typeface="Calibri"/>
              <a:ea typeface="Calibri"/>
              <a:cs typeface="Calibri"/>
            </a:rPr>
            <a:t>Liabilities</a:t>
          </a:r>
        </a:p>
        <a:p>
          <a:pPr algn="just" rtl="0">
            <a:lnSpc>
              <a:spcPts val="1300"/>
            </a:lnSpc>
            <a:defRPr sz="1000"/>
          </a:pPr>
          <a:r>
            <a:rPr lang="it-IT" sz="1200" b="0" i="0" u="none" strike="noStrike" baseline="0">
              <a:solidFill>
                <a:srgbClr val="000000"/>
              </a:solidFill>
              <a:latin typeface="Calibri"/>
              <a:ea typeface="Calibri"/>
              <a:cs typeface="Calibri"/>
            </a:rPr>
            <a:t>Equity</a:t>
          </a:r>
        </a:p>
        <a:p>
          <a:pPr algn="just" rtl="0">
            <a:lnSpc>
              <a:spcPts val="1300"/>
            </a:lnSpc>
            <a:defRPr sz="1000"/>
          </a:pPr>
          <a:endParaRPr lang="it-IT" sz="1200" b="0" i="0" u="none" strike="noStrike" baseline="0">
            <a:solidFill>
              <a:srgbClr val="000000"/>
            </a:solidFill>
            <a:latin typeface="Calibri"/>
            <a:ea typeface="Calibri"/>
            <a:cs typeface="Calibri"/>
          </a:endParaRPr>
        </a:p>
        <a:p>
          <a:pPr algn="just" rtl="0">
            <a:lnSpc>
              <a:spcPts val="1200"/>
            </a:lnSpc>
            <a:defRPr sz="1000"/>
          </a:pPr>
          <a:endParaRPr lang="it-IT" sz="1200" b="0" i="0" u="none" strike="noStrike" baseline="0">
            <a:solidFill>
              <a:srgbClr val="000000"/>
            </a:solidFill>
            <a:latin typeface="Calibri"/>
            <a:ea typeface="Calibri"/>
            <a:cs typeface="Calibri"/>
          </a:endParaRPr>
        </a:p>
        <a:p>
          <a:pPr algn="just" rtl="0">
            <a:lnSpc>
              <a:spcPts val="1200"/>
            </a:lnSpc>
            <a:defRPr sz="1000"/>
          </a:pPr>
          <a:r>
            <a:rPr lang="it-IT" sz="1200" b="0" i="0" u="none" strike="noStrike" baseline="0">
              <a:solidFill>
                <a:srgbClr val="000000"/>
              </a:solidFill>
              <a:latin typeface="Calibri"/>
              <a:ea typeface="Calibri"/>
              <a:cs typeface="Calibri"/>
            </a:rPr>
            <a:t>Service indemnity for employees</a:t>
          </a:r>
        </a:p>
      </xdr:txBody>
    </xdr:sp>
    <xdr:clientData/>
  </xdr:twoCellAnchor>
  <xdr:twoCellAnchor>
    <xdr:from>
      <xdr:col>7</xdr:col>
      <xdr:colOff>79375</xdr:colOff>
      <xdr:row>6</xdr:row>
      <xdr:rowOff>50800</xdr:rowOff>
    </xdr:from>
    <xdr:to>
      <xdr:col>12</xdr:col>
      <xdr:colOff>254006</xdr:colOff>
      <xdr:row>22</xdr:row>
      <xdr:rowOff>165100</xdr:rowOff>
    </xdr:to>
    <xdr:sp macro="" textlink="">
      <xdr:nvSpPr>
        <xdr:cNvPr id="66666" name="Text Box 106">
          <a:extLst>
            <a:ext uri="{FF2B5EF4-FFF2-40B4-BE49-F238E27FC236}">
              <a16:creationId xmlns:a16="http://schemas.microsoft.com/office/drawing/2014/main" id="{00000000-0008-0000-0300-00006A040100}"/>
            </a:ext>
          </a:extLst>
        </xdr:cNvPr>
        <xdr:cNvSpPr txBox="1">
          <a:spLocks noChangeArrowheads="1"/>
        </xdr:cNvSpPr>
      </xdr:nvSpPr>
      <xdr:spPr bwMode="auto">
        <a:xfrm>
          <a:off x="7708900" y="1206500"/>
          <a:ext cx="3543300" cy="28321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it-IT" sz="900" b="0" i="0" u="none" strike="noStrike" baseline="0">
              <a:solidFill>
                <a:srgbClr val="000000"/>
              </a:solidFill>
              <a:latin typeface="Arial"/>
              <a:ea typeface="Arial"/>
              <a:cs typeface="Arial"/>
            </a:rPr>
            <a:t>Assets are classified as current assets and fixed assets (long-term). </a:t>
          </a:r>
        </a:p>
        <a:p>
          <a:pPr algn="l" rtl="0">
            <a:defRPr sz="1000"/>
          </a:pPr>
          <a:endParaRPr lang="it-IT" sz="900" b="0" i="0" u="none" strike="noStrike" baseline="0">
            <a:solidFill>
              <a:srgbClr val="000000"/>
            </a:solidFill>
            <a:latin typeface="Arial"/>
            <a:ea typeface="Arial"/>
            <a:cs typeface="Arial"/>
          </a:endParaRPr>
        </a:p>
        <a:p>
          <a:pPr algn="l" rtl="0">
            <a:defRPr sz="1000"/>
          </a:pPr>
          <a:r>
            <a:rPr lang="it-IT" sz="900" b="0" i="0" u="none" strike="noStrike" baseline="0">
              <a:solidFill>
                <a:srgbClr val="000000"/>
              </a:solidFill>
              <a:latin typeface="Arial"/>
              <a:ea typeface="Arial"/>
              <a:cs typeface="Arial"/>
            </a:rPr>
            <a:t>Current assets are assets that will be converted to cash or will be used by the business in a year or less. </a:t>
          </a:r>
        </a:p>
        <a:p>
          <a:pPr algn="l" rtl="0">
            <a:defRPr sz="1000"/>
          </a:pPr>
          <a:r>
            <a:rPr lang="it-IT" sz="900" b="0" i="0" u="none" strike="noStrike" baseline="0">
              <a:solidFill>
                <a:srgbClr val="000000"/>
              </a:solidFill>
              <a:latin typeface="Arial"/>
              <a:ea typeface="Arial"/>
              <a:cs typeface="Arial"/>
            </a:rPr>
            <a:t>Current assets include:</a:t>
          </a:r>
        </a:p>
        <a:p>
          <a:pPr algn="l" rtl="0">
            <a:defRPr sz="1000"/>
          </a:pPr>
          <a:r>
            <a:rPr lang="it-IT" sz="900" b="0" i="0" u="none" strike="noStrike" baseline="0">
              <a:solidFill>
                <a:srgbClr val="000000"/>
              </a:solidFill>
              <a:latin typeface="Arial"/>
              <a:ea typeface="Arial"/>
              <a:cs typeface="Arial"/>
            </a:rPr>
            <a:t>Cash availability. The cash on hand at the time books are closed at the end of the fiscal year.</a:t>
          </a:r>
        </a:p>
        <a:p>
          <a:pPr algn="l" rtl="0">
            <a:defRPr sz="1000"/>
          </a:pPr>
          <a:r>
            <a:rPr lang="it-IT" sz="900" b="0" i="0" u="none" strike="noStrike" baseline="0">
              <a:solidFill>
                <a:srgbClr val="000000"/>
              </a:solidFill>
              <a:latin typeface="Arial"/>
              <a:ea typeface="Arial"/>
              <a:cs typeface="Arial"/>
            </a:rPr>
            <a:t>Receivables. The income derived from credit accounts. For the balance sheet, it's the total amount of income to be received that is logged into the books at the close of the fiscal year.</a:t>
          </a:r>
        </a:p>
        <a:p>
          <a:pPr algn="l" rtl="0">
            <a:defRPr sz="1000"/>
          </a:pPr>
          <a:r>
            <a:rPr lang="it-IT" sz="900" b="0" i="0" u="none" strike="noStrike" baseline="0">
              <a:solidFill>
                <a:srgbClr val="000000"/>
              </a:solidFill>
              <a:latin typeface="Arial"/>
              <a:ea typeface="Arial"/>
              <a:cs typeface="Arial"/>
            </a:rPr>
            <a:t>Stocks. This is derived from the cost of goods table. It's the inventory of material used to manufacture a product not yet sold.</a:t>
          </a:r>
        </a:p>
        <a:p>
          <a:pPr algn="l" rtl="0">
            <a:defRPr sz="1000"/>
          </a:pPr>
          <a:r>
            <a:rPr lang="it-IT" sz="900" b="0" i="0" u="none" strike="noStrike" baseline="0">
              <a:solidFill>
                <a:srgbClr val="000000"/>
              </a:solidFill>
              <a:latin typeface="Arial"/>
              <a:ea typeface="Arial"/>
              <a:cs typeface="Arial"/>
            </a:rPr>
            <a:t>Total current assets. The sum of cash availability, receivables, stocks, and prepayments and accrued income.</a:t>
          </a:r>
        </a:p>
      </xdr:txBody>
    </xdr:sp>
    <xdr:clientData/>
  </xdr:twoCellAnchor>
  <xdr:twoCellAnchor>
    <xdr:from>
      <xdr:col>7</xdr:col>
      <xdr:colOff>79375</xdr:colOff>
      <xdr:row>6</xdr:row>
      <xdr:rowOff>50800</xdr:rowOff>
    </xdr:from>
    <xdr:to>
      <xdr:col>12</xdr:col>
      <xdr:colOff>254006</xdr:colOff>
      <xdr:row>22</xdr:row>
      <xdr:rowOff>165100</xdr:rowOff>
    </xdr:to>
    <xdr:sp macro="" textlink="">
      <xdr:nvSpPr>
        <xdr:cNvPr id="66667" name="Text Box 107">
          <a:extLst>
            <a:ext uri="{FF2B5EF4-FFF2-40B4-BE49-F238E27FC236}">
              <a16:creationId xmlns:a16="http://schemas.microsoft.com/office/drawing/2014/main" id="{00000000-0008-0000-0300-00006B040100}"/>
            </a:ext>
          </a:extLst>
        </xdr:cNvPr>
        <xdr:cNvSpPr txBox="1">
          <a:spLocks noChangeArrowheads="1"/>
        </xdr:cNvSpPr>
      </xdr:nvSpPr>
      <xdr:spPr bwMode="auto">
        <a:xfrm>
          <a:off x="7708900" y="1206500"/>
          <a:ext cx="3543300" cy="28321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it-IT" sz="900" b="0" i="0" u="none" strike="noStrike" baseline="0">
              <a:solidFill>
                <a:srgbClr val="000000"/>
              </a:solidFill>
              <a:latin typeface="Arial"/>
              <a:ea typeface="Arial"/>
              <a:cs typeface="Arial"/>
            </a:rPr>
            <a:t>Assets are classified as current assets and fixed assets (long-term). </a:t>
          </a:r>
        </a:p>
        <a:p>
          <a:pPr algn="l" rtl="0">
            <a:defRPr sz="1000"/>
          </a:pPr>
          <a:endParaRPr lang="it-IT" sz="900" b="0" i="0" u="none" strike="noStrike" baseline="0">
            <a:solidFill>
              <a:srgbClr val="000000"/>
            </a:solidFill>
            <a:latin typeface="Arial"/>
            <a:ea typeface="Arial"/>
            <a:cs typeface="Arial"/>
          </a:endParaRPr>
        </a:p>
        <a:p>
          <a:pPr algn="l" rtl="0">
            <a:defRPr sz="1000"/>
          </a:pPr>
          <a:r>
            <a:rPr lang="it-IT" sz="900" b="1" i="0" u="none" strike="noStrike" baseline="0">
              <a:solidFill>
                <a:srgbClr val="000000"/>
              </a:solidFill>
              <a:latin typeface="Arial"/>
              <a:ea typeface="Arial"/>
              <a:cs typeface="Arial"/>
            </a:rPr>
            <a:t>Current assets </a:t>
          </a:r>
          <a:r>
            <a:rPr lang="it-IT" sz="900" b="0" i="0" u="none" strike="noStrike" baseline="0">
              <a:solidFill>
                <a:srgbClr val="000000"/>
              </a:solidFill>
              <a:latin typeface="Arial"/>
              <a:ea typeface="Arial"/>
              <a:cs typeface="Arial"/>
            </a:rPr>
            <a:t>are assets that will be converted to cash or will be used by the business in a year or less. </a:t>
          </a:r>
        </a:p>
        <a:p>
          <a:pPr algn="l" rtl="0">
            <a:defRPr sz="1000"/>
          </a:pPr>
          <a:r>
            <a:rPr lang="it-IT" sz="900" b="0" i="0" u="none" strike="noStrike" baseline="0">
              <a:solidFill>
                <a:srgbClr val="000000"/>
              </a:solidFill>
              <a:latin typeface="Arial"/>
              <a:ea typeface="Arial"/>
              <a:cs typeface="Arial"/>
            </a:rPr>
            <a:t>Current assets include:</a:t>
          </a:r>
        </a:p>
        <a:p>
          <a:pPr algn="l" rtl="0">
            <a:defRPr sz="1000"/>
          </a:pPr>
          <a:r>
            <a:rPr lang="it-IT" sz="900" b="0" i="0" u="none" strike="noStrike" baseline="0">
              <a:solidFill>
                <a:srgbClr val="000000"/>
              </a:solidFill>
              <a:latin typeface="Arial"/>
              <a:ea typeface="Arial"/>
              <a:cs typeface="Arial"/>
            </a:rPr>
            <a:t>Cash availability. The cash on hand at the time books are closed at the end of the fiscal year.</a:t>
          </a:r>
        </a:p>
        <a:p>
          <a:pPr algn="l" rtl="0">
            <a:defRPr sz="1000"/>
          </a:pPr>
          <a:r>
            <a:rPr lang="it-IT" sz="900" b="0" i="0" u="none" strike="noStrike" baseline="0">
              <a:solidFill>
                <a:srgbClr val="000000"/>
              </a:solidFill>
              <a:latin typeface="Arial"/>
              <a:ea typeface="Arial"/>
              <a:cs typeface="Arial"/>
            </a:rPr>
            <a:t>Receivables. The income derived from credit accounts. For the balance sheet, it's the total amount of income to be received that is logged into the books at the close of the fiscal year.</a:t>
          </a:r>
        </a:p>
        <a:p>
          <a:pPr algn="l" rtl="0">
            <a:defRPr sz="1000"/>
          </a:pPr>
          <a:r>
            <a:rPr lang="it-IT" sz="900" b="0" i="0" u="none" strike="noStrike" baseline="0">
              <a:solidFill>
                <a:srgbClr val="000000"/>
              </a:solidFill>
              <a:latin typeface="Arial"/>
              <a:ea typeface="Arial"/>
              <a:cs typeface="Arial"/>
            </a:rPr>
            <a:t>Stocks. This is derived from the cost of goods table. It's the inventory of material used to manufacture a product not yet sold.</a:t>
          </a:r>
        </a:p>
        <a:p>
          <a:pPr algn="l" rtl="0">
            <a:defRPr sz="1000"/>
          </a:pPr>
          <a:r>
            <a:rPr lang="it-IT" sz="900" b="0" i="0" u="none" strike="noStrike" baseline="0">
              <a:solidFill>
                <a:srgbClr val="000000"/>
              </a:solidFill>
              <a:latin typeface="Arial"/>
              <a:ea typeface="Arial"/>
              <a:cs typeface="Arial"/>
            </a:rPr>
            <a:t>Total current assets. The sum of cash availability, receivables, stocks, and prepayments and accrued income.</a:t>
          </a:r>
        </a:p>
      </xdr:txBody>
    </xdr:sp>
    <xdr:clientData/>
  </xdr:twoCellAnchor>
  <xdr:twoCellAnchor>
    <xdr:from>
      <xdr:col>7</xdr:col>
      <xdr:colOff>79375</xdr:colOff>
      <xdr:row>43</xdr:row>
      <xdr:rowOff>19050</xdr:rowOff>
    </xdr:from>
    <xdr:to>
      <xdr:col>12</xdr:col>
      <xdr:colOff>254006</xdr:colOff>
      <xdr:row>58</xdr:row>
      <xdr:rowOff>123822</xdr:rowOff>
    </xdr:to>
    <xdr:sp macro="" textlink="">
      <xdr:nvSpPr>
        <xdr:cNvPr id="66668" name="Text Box 108">
          <a:extLst>
            <a:ext uri="{FF2B5EF4-FFF2-40B4-BE49-F238E27FC236}">
              <a16:creationId xmlns:a16="http://schemas.microsoft.com/office/drawing/2014/main" id="{00000000-0008-0000-0300-00006C040100}"/>
            </a:ext>
          </a:extLst>
        </xdr:cNvPr>
        <xdr:cNvSpPr txBox="1">
          <a:spLocks noChangeArrowheads="1"/>
        </xdr:cNvSpPr>
      </xdr:nvSpPr>
      <xdr:spPr bwMode="auto">
        <a:xfrm>
          <a:off x="7708900" y="7543800"/>
          <a:ext cx="3543300" cy="2819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it-IT" sz="900" b="0" i="0" u="none" strike="noStrike" baseline="0">
              <a:solidFill>
                <a:srgbClr val="000000"/>
              </a:solidFill>
              <a:latin typeface="Arial"/>
              <a:ea typeface="Arial"/>
              <a:cs typeface="Arial"/>
            </a:rPr>
            <a:t>.</a:t>
          </a:r>
        </a:p>
        <a:p>
          <a:pPr algn="l" rtl="0">
            <a:defRPr sz="1000"/>
          </a:pPr>
          <a:r>
            <a:rPr lang="it-IT" sz="900" b="1" i="0" u="none" strike="noStrike" baseline="0">
              <a:solidFill>
                <a:srgbClr val="000000"/>
              </a:solidFill>
              <a:latin typeface="Arial"/>
              <a:ea typeface="Arial"/>
              <a:cs typeface="Arial"/>
            </a:rPr>
            <a:t>Debts. </a:t>
          </a:r>
        </a:p>
        <a:p>
          <a:pPr algn="l" rtl="0">
            <a:defRPr sz="1000"/>
          </a:pPr>
          <a:r>
            <a:rPr lang="it-IT" sz="900" b="0" i="0" u="none" strike="noStrike" baseline="0">
              <a:solidFill>
                <a:srgbClr val="000000"/>
              </a:solidFill>
              <a:latin typeface="Arial"/>
              <a:ea typeface="Arial"/>
              <a:cs typeface="Arial"/>
            </a:rPr>
            <a:t>All expenses derived from purchasing items from regular creditors on an open account, which are due and payable as well as taxes that are still due and payable at the time the books are closed.</a:t>
          </a:r>
        </a:p>
        <a:p>
          <a:pPr algn="l" rtl="0">
            <a:defRPr sz="1000"/>
          </a:pPr>
          <a:r>
            <a:rPr lang="it-IT" sz="900" b="1" i="0" u="none" strike="noStrike" baseline="0">
              <a:solidFill>
                <a:srgbClr val="000000"/>
              </a:solidFill>
              <a:latin typeface="Arial"/>
              <a:ea typeface="Arial"/>
              <a:cs typeface="Arial"/>
            </a:rPr>
            <a:t>Accruals and deferred income.</a:t>
          </a:r>
          <a:r>
            <a:rPr lang="it-IT" sz="900" b="0" i="0" u="none" strike="noStrike" baseline="0">
              <a:solidFill>
                <a:srgbClr val="000000"/>
              </a:solidFill>
              <a:latin typeface="Arial"/>
              <a:ea typeface="Arial"/>
              <a:cs typeface="Arial"/>
            </a:rPr>
            <a:t> </a:t>
          </a:r>
        </a:p>
        <a:p>
          <a:pPr algn="l" rtl="0">
            <a:defRPr sz="1000"/>
          </a:pPr>
          <a:r>
            <a:rPr lang="it-IT" sz="900" b="0" i="0" u="none" strike="noStrike" baseline="0">
              <a:solidFill>
                <a:srgbClr val="000000"/>
              </a:solidFill>
              <a:latin typeface="Arial"/>
              <a:ea typeface="Arial"/>
              <a:cs typeface="Arial"/>
            </a:rPr>
            <a:t>All expenses incurred by the business which are required for operation but have not been paid at the time the books are closed. </a:t>
          </a:r>
        </a:p>
        <a:p>
          <a:pPr algn="l" rtl="0">
            <a:defRPr sz="1000"/>
          </a:pPr>
          <a:endParaRPr lang="it-IT" sz="900" b="0" i="0" u="none" strike="noStrike" baseline="0">
            <a:solidFill>
              <a:srgbClr val="000000"/>
            </a:solidFill>
            <a:latin typeface="Arial"/>
            <a:ea typeface="Arial"/>
            <a:cs typeface="Arial"/>
          </a:endParaRPr>
        </a:p>
        <a:p>
          <a:pPr algn="l" rtl="0">
            <a:defRPr sz="1000"/>
          </a:pPr>
          <a:r>
            <a:rPr lang="it-IT" sz="900" b="0" i="0" u="none" strike="noStrike" baseline="0">
              <a:solidFill>
                <a:srgbClr val="000000"/>
              </a:solidFill>
              <a:latin typeface="Arial"/>
              <a:ea typeface="Arial"/>
              <a:cs typeface="Arial"/>
            </a:rPr>
            <a:t>Once the liabilities have been listed, the final portion of the balance sheet-owner's equity-needs to be calculated. The amount attributed to owner's equity is the difference between total assets and total liabilities. The amount of equity the owner has in the business is an important yardstick used by investors when evaluating the company. Many times it determines the amount of capital they feel they can safely invest in the business.</a:t>
          </a:r>
        </a:p>
        <a:p>
          <a:pPr algn="l" rtl="0">
            <a:defRPr sz="1000"/>
          </a:pPr>
          <a:endParaRPr lang="it-IT" sz="900" b="0" i="0" u="none" strike="noStrike" baseline="0">
            <a:solidFill>
              <a:srgbClr val="000000"/>
            </a:solidFill>
            <a:latin typeface="Arial"/>
            <a:ea typeface="Arial"/>
            <a:cs typeface="Arial"/>
          </a:endParaRPr>
        </a:p>
        <a:p>
          <a:pPr algn="l" rtl="0">
            <a:defRPr sz="1000"/>
          </a:pPr>
          <a:r>
            <a:rPr lang="it-IT" sz="900" b="1" i="0" u="none" strike="noStrike" baseline="0">
              <a:solidFill>
                <a:srgbClr val="000000"/>
              </a:solidFill>
              <a:latin typeface="Arial"/>
              <a:ea typeface="Arial"/>
              <a:cs typeface="Arial"/>
            </a:rPr>
            <a:t>Fund for liabilities and charges.</a:t>
          </a:r>
          <a:endParaRPr lang="it-IT" sz="900" b="0" i="0" u="none" strike="noStrike" baseline="0">
            <a:solidFill>
              <a:srgbClr val="000000"/>
            </a:solidFill>
            <a:latin typeface="Arial"/>
            <a:ea typeface="Arial"/>
            <a:cs typeface="Arial"/>
          </a:endParaRPr>
        </a:p>
        <a:p>
          <a:pPr algn="l" rtl="0">
            <a:defRPr sz="1000"/>
          </a:pPr>
          <a:endParaRPr lang="it-IT" sz="900" b="0" i="0" u="none" strike="noStrike" baseline="0">
            <a:solidFill>
              <a:srgbClr val="000000"/>
            </a:solidFill>
            <a:latin typeface="Arial"/>
            <a:ea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24</xdr:row>
      <xdr:rowOff>38100</xdr:rowOff>
    </xdr:from>
    <xdr:to>
      <xdr:col>6</xdr:col>
      <xdr:colOff>0</xdr:colOff>
      <xdr:row>44</xdr:row>
      <xdr:rowOff>101600</xdr:rowOff>
    </xdr:to>
    <xdr:sp macro="" textlink="">
      <xdr:nvSpPr>
        <xdr:cNvPr id="76036" name="CasellaDiTesto 2">
          <a:extLst>
            <a:ext uri="{FF2B5EF4-FFF2-40B4-BE49-F238E27FC236}">
              <a16:creationId xmlns:a16="http://schemas.microsoft.com/office/drawing/2014/main" id="{00000000-0008-0000-0400-000004290100}"/>
            </a:ext>
          </a:extLst>
        </xdr:cNvPr>
        <xdr:cNvSpPr txBox="1">
          <a:spLocks noChangeArrowheads="1"/>
        </xdr:cNvSpPr>
      </xdr:nvSpPr>
      <xdr:spPr bwMode="auto">
        <a:xfrm>
          <a:off x="38100" y="4076700"/>
          <a:ext cx="8051800" cy="3111500"/>
        </a:xfrm>
        <a:prstGeom prst="rect">
          <a:avLst/>
        </a:prstGeom>
        <a:solidFill>
          <a:srgbClr val="EBF1DE"/>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45720" tIns="41148" rIns="45720" bIns="0" anchor="t" upright="1"/>
        <a:lstStyle/>
        <a:p>
          <a:pPr algn="just" rtl="0">
            <a:defRPr sz="1000"/>
          </a:pPr>
          <a:r>
            <a:rPr lang="it-IT" sz="1200" b="0" i="0" u="none" strike="noStrike" baseline="0">
              <a:solidFill>
                <a:srgbClr val="000000"/>
              </a:solidFill>
              <a:latin typeface="Calibri"/>
              <a:ea typeface="Calibri"/>
              <a:cs typeface="Calibri"/>
            </a:rPr>
            <a:t>This sheet has to be completed only if the company is financed with debt (= levered). </a:t>
          </a:r>
        </a:p>
        <a:p>
          <a:pPr algn="just" rtl="0">
            <a:defRPr sz="1000"/>
          </a:pPr>
          <a:r>
            <a:rPr lang="it-IT" sz="1200" b="0" i="0" u="none" strike="noStrike" baseline="0">
              <a:solidFill>
                <a:srgbClr val="000000"/>
              </a:solidFill>
              <a:latin typeface="Calibri"/>
              <a:ea typeface="Calibri"/>
              <a:cs typeface="Calibri"/>
            </a:rPr>
            <a:t>First of all it’s necessary to complete the preliminary information:</a:t>
          </a:r>
        </a:p>
        <a:p>
          <a:pPr algn="just" rtl="0">
            <a:defRPr sz="1000"/>
          </a:pPr>
          <a:r>
            <a:rPr lang="it-IT" sz="1200" b="0" i="0" u="none" strike="noStrike" baseline="0">
              <a:solidFill>
                <a:srgbClr val="000000"/>
              </a:solidFill>
              <a:latin typeface="Calibri"/>
              <a:ea typeface="Calibri"/>
              <a:cs typeface="Calibri"/>
            </a:rPr>
            <a:t>Total amounts owed to banks: insert the total amount received form banks. This is the base value to calculate interests and the other charges;</a:t>
          </a:r>
        </a:p>
        <a:p>
          <a:pPr algn="just" rtl="0">
            <a:defRPr sz="1000"/>
          </a:pPr>
          <a:r>
            <a:rPr lang="it-IT" sz="1200" b="0" i="0" u="none" strike="noStrike" baseline="0">
              <a:solidFill>
                <a:srgbClr val="000000"/>
              </a:solidFill>
              <a:latin typeface="Calibri"/>
              <a:ea typeface="Calibri"/>
              <a:cs typeface="Calibri"/>
            </a:rPr>
            <a:t>Facility fees: bank charges (in percentage of amount received) to pay only the first year (x). This amount will be transferred automatically in the income statement (account: interests and other financial expenses);</a:t>
          </a:r>
        </a:p>
        <a:p>
          <a:pPr algn="just" rtl="0">
            <a:defRPr sz="1000"/>
          </a:pPr>
          <a:r>
            <a:rPr lang="it-IT" sz="1200" b="0" i="0" u="none" strike="noStrike" baseline="0">
              <a:solidFill>
                <a:srgbClr val="000000"/>
              </a:solidFill>
              <a:latin typeface="Calibri"/>
              <a:ea typeface="Calibri"/>
              <a:cs typeface="Calibri"/>
            </a:rPr>
            <a:t>Insurance fees: insurance costs (in percentage of amount received) to pay only the first year (x). This amount will be transferred automatically in the income statement (account interests and other financial expenses);</a:t>
          </a:r>
        </a:p>
        <a:p>
          <a:pPr algn="just" rtl="0">
            <a:defRPr sz="1000"/>
          </a:pPr>
          <a:r>
            <a:rPr lang="it-IT" sz="1200" b="0" i="0" u="none" strike="noStrike" baseline="0">
              <a:solidFill>
                <a:srgbClr val="000000"/>
              </a:solidFill>
              <a:latin typeface="Calibri"/>
              <a:ea typeface="Calibri"/>
              <a:cs typeface="Calibri"/>
            </a:rPr>
            <a:t>Interests: interest rate to recognizer for the loan (the period is set up in the next field). This amount will be transferred automatically in the income statement (account: interests and other financial expenses);</a:t>
          </a:r>
        </a:p>
        <a:p>
          <a:pPr algn="just" rtl="0">
            <a:defRPr sz="1000"/>
          </a:pPr>
          <a:r>
            <a:rPr lang="it-IT" sz="1200" b="0" i="0" u="none" strike="noStrike" baseline="0">
              <a:solidFill>
                <a:srgbClr val="000000"/>
              </a:solidFill>
              <a:latin typeface="Calibri"/>
              <a:ea typeface="Calibri"/>
              <a:cs typeface="Calibri"/>
            </a:rPr>
            <a:t>Period of repayment (years): length of the loan necessary to calculate the interest charges and the repayment plan.</a:t>
          </a:r>
        </a:p>
        <a:p>
          <a:pPr algn="just" rtl="0">
            <a:defRPr sz="1000"/>
          </a:pPr>
          <a:endParaRPr lang="it-IT" sz="1200" b="0" i="0" u="none" strike="noStrike" baseline="0">
            <a:solidFill>
              <a:srgbClr val="000000"/>
            </a:solidFill>
            <a:latin typeface="Calibri"/>
            <a:ea typeface="Calibri"/>
            <a:cs typeface="Calibri"/>
          </a:endParaRPr>
        </a:p>
        <a:p>
          <a:pPr algn="just" rtl="0">
            <a:defRPr sz="1000"/>
          </a:pPr>
          <a:r>
            <a:rPr lang="it-IT" sz="1200" b="0" i="0" u="none" strike="noStrike" baseline="0">
              <a:solidFill>
                <a:srgbClr val="000000"/>
              </a:solidFill>
              <a:latin typeface="Calibri"/>
              <a:ea typeface="Calibri"/>
              <a:cs typeface="Calibri"/>
            </a:rPr>
            <a:t> The input data are shown on the right side of the table. On the left side the results are calculated for each financial figure.</a:t>
          </a:r>
        </a:p>
        <a:p>
          <a:pPr algn="just" rtl="0">
            <a:defRPr sz="1000"/>
          </a:pPr>
          <a:r>
            <a:rPr lang="it-IT" sz="1200" b="0" i="0" u="none" strike="noStrike" baseline="0">
              <a:solidFill>
                <a:srgbClr val="000000"/>
              </a:solidFill>
              <a:latin typeface="Calibri"/>
              <a:ea typeface="Calibri"/>
              <a:cs typeface="Calibri"/>
            </a:rPr>
            <a:t>After that the tool calculates the loan repayment schedule for the above mentioned periods</a:t>
          </a:r>
        </a:p>
        <a:p>
          <a:pPr algn="just" rtl="0">
            <a:defRPr sz="1000"/>
          </a:pPr>
          <a:r>
            <a:rPr lang="it-IT" sz="1200" b="0" i="0" u="none" strike="noStrike" baseline="0">
              <a:solidFill>
                <a:srgbClr val="000000"/>
              </a:solidFill>
              <a:latin typeface="Calibri"/>
              <a:ea typeface="Calibri"/>
              <a:cs typeface="Calibri"/>
            </a:rPr>
            <a:t>.</a:t>
          </a:r>
        </a:p>
      </xdr:txBody>
    </xdr:sp>
    <xdr:clientData/>
  </xdr:twoCellAnchor>
  <xdr:twoCellAnchor>
    <xdr:from>
      <xdr:col>5</xdr:col>
      <xdr:colOff>495300</xdr:colOff>
      <xdr:row>11</xdr:row>
      <xdr:rowOff>95250</xdr:rowOff>
    </xdr:from>
    <xdr:to>
      <xdr:col>5</xdr:col>
      <xdr:colOff>771525</xdr:colOff>
      <xdr:row>12</xdr:row>
      <xdr:rowOff>190500</xdr:rowOff>
    </xdr:to>
    <xdr:pic>
      <xdr:nvPicPr>
        <xdr:cNvPr id="75784" name="Picture 8">
          <a:extLst>
            <a:ext uri="{FF2B5EF4-FFF2-40B4-BE49-F238E27FC236}">
              <a16:creationId xmlns:a16="http://schemas.microsoft.com/office/drawing/2014/main" id="{00000000-0008-0000-0400-0000082801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7543800" y="2076450"/>
          <a:ext cx="276225" cy="2571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64</xdr:row>
      <xdr:rowOff>0</xdr:rowOff>
    </xdr:from>
    <xdr:to>
      <xdr:col>13</xdr:col>
      <xdr:colOff>800100</xdr:colOff>
      <xdr:row>66</xdr:row>
      <xdr:rowOff>63500</xdr:rowOff>
    </xdr:to>
    <xdr:sp macro="" textlink="">
      <xdr:nvSpPr>
        <xdr:cNvPr id="103582" name="CasellaDiTesto 1">
          <a:extLst>
            <a:ext uri="{FF2B5EF4-FFF2-40B4-BE49-F238E27FC236}">
              <a16:creationId xmlns:a16="http://schemas.microsoft.com/office/drawing/2014/main" id="{00000000-0008-0000-0500-00009E940100}"/>
            </a:ext>
          </a:extLst>
        </xdr:cNvPr>
        <xdr:cNvSpPr txBox="1">
          <a:spLocks noChangeArrowheads="1"/>
        </xdr:cNvSpPr>
      </xdr:nvSpPr>
      <xdr:spPr bwMode="auto">
        <a:xfrm>
          <a:off x="0" y="11722100"/>
          <a:ext cx="14084300" cy="419100"/>
        </a:xfrm>
        <a:prstGeom prst="rect">
          <a:avLst/>
        </a:prstGeom>
        <a:solidFill>
          <a:srgbClr val="C4BD97"/>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36576" tIns="32004" rIns="36576" bIns="0" anchor="t" upright="1"/>
        <a:lstStyle/>
        <a:p>
          <a:pPr algn="just" rtl="0">
            <a:defRPr sz="1000"/>
          </a:pPr>
          <a:r>
            <a:rPr lang="it-IT" sz="1200" b="0" i="0" u="none" strike="noStrike" baseline="0">
              <a:solidFill>
                <a:srgbClr val="000000"/>
              </a:solidFill>
              <a:latin typeface="Calibri"/>
              <a:ea typeface="Calibri"/>
              <a:cs typeface="Calibri"/>
            </a:rPr>
            <a:t>this section is necessary to prepare all the information for the cash flow, together with the income statement. It’s completely automatic. </a:t>
          </a:r>
        </a:p>
        <a:p>
          <a:pPr algn="just" rtl="0">
            <a:defRPr sz="1000"/>
          </a:pPr>
          <a:endParaRPr lang="it-IT" sz="1200" b="0" i="0" u="none" strike="noStrike" baseline="0">
            <a:solidFill>
              <a:srgbClr val="000000"/>
            </a:solidFill>
            <a:latin typeface="Calibri"/>
            <a:ea typeface="Calibri"/>
            <a:cs typeface="Calibri"/>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62</xdr:row>
      <xdr:rowOff>101600</xdr:rowOff>
    </xdr:from>
    <xdr:to>
      <xdr:col>6</xdr:col>
      <xdr:colOff>63500</xdr:colOff>
      <xdr:row>70</xdr:row>
      <xdr:rowOff>12700</xdr:rowOff>
    </xdr:to>
    <xdr:sp macro="" textlink="">
      <xdr:nvSpPr>
        <xdr:cNvPr id="104923" name="CasellaDiTesto 3">
          <a:extLst>
            <a:ext uri="{FF2B5EF4-FFF2-40B4-BE49-F238E27FC236}">
              <a16:creationId xmlns:a16="http://schemas.microsoft.com/office/drawing/2014/main" id="{00000000-0008-0000-0600-0000DB990100}"/>
            </a:ext>
          </a:extLst>
        </xdr:cNvPr>
        <xdr:cNvSpPr txBox="1">
          <a:spLocks noChangeArrowheads="1"/>
        </xdr:cNvSpPr>
      </xdr:nvSpPr>
      <xdr:spPr bwMode="auto">
        <a:xfrm>
          <a:off x="0" y="10248900"/>
          <a:ext cx="9283700" cy="1130300"/>
        </a:xfrm>
        <a:prstGeom prst="rect">
          <a:avLst/>
        </a:prstGeom>
        <a:solidFill>
          <a:srgbClr val="EBF1DE"/>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36576" tIns="32004" rIns="36576" bIns="0" anchor="t" upright="1"/>
        <a:lstStyle/>
        <a:p>
          <a:pPr algn="just" rtl="0">
            <a:defRPr sz="1000"/>
          </a:pPr>
          <a:r>
            <a:rPr lang="it-IT" sz="1200" b="0" i="0" u="none" strike="noStrike" baseline="0">
              <a:solidFill>
                <a:srgbClr val="000000"/>
              </a:solidFill>
              <a:latin typeface="Calibri"/>
              <a:ea typeface="Calibri"/>
              <a:cs typeface="Calibri"/>
            </a:rPr>
            <a:t>The cash-flow statement is one of the most critical information tools for the business, showing how much cash will be needed to meet obligations, when it is going to be required, and from where it will come. It shows a schedule of the money coming into the business and expenses that need to be paid. The result is the profit or loss at the end of the month or year. In a cash-flow statement, both profits and losses are carried over to the next column to show the cumulative amount. If there is a loss on the cash-flow statement, it is a strong indicator that the company will need additional cash in order to meet expenses. The information are taken directly from the income statement and the balance sheet variation.</a:t>
          </a:r>
        </a:p>
        <a:p>
          <a:pPr algn="just" rtl="0">
            <a:defRPr sz="1000"/>
          </a:pPr>
          <a:endParaRPr lang="it-IT" sz="1200" b="0" i="0" u="none" strike="noStrike" baseline="0">
            <a:solidFill>
              <a:srgbClr val="000000"/>
            </a:solidFill>
            <a:latin typeface="Calibri"/>
            <a:ea typeface="Calibri"/>
            <a:cs typeface="Calibri"/>
          </a:endParaRPr>
        </a:p>
        <a:p>
          <a:pPr algn="just" rtl="0">
            <a:defRPr sz="1000"/>
          </a:pPr>
          <a:endParaRPr lang="it-IT" sz="1800" b="0" i="0" u="none" strike="noStrike" baseline="0">
            <a:solidFill>
              <a:srgbClr val="000000"/>
            </a:solidFill>
            <a:latin typeface="Calibri"/>
            <a:ea typeface="Calibri"/>
            <a:cs typeface="Calibri"/>
          </a:endParaRPr>
        </a:p>
        <a:p>
          <a:pPr algn="just" rtl="0">
            <a:defRPr sz="1000"/>
          </a:pPr>
          <a:endParaRPr lang="it-IT" sz="1800" b="0" i="0" u="none" strike="noStrike" baseline="0">
            <a:solidFill>
              <a:srgbClr val="000000"/>
            </a:solidFill>
            <a:latin typeface="Calibri"/>
            <a:ea typeface="Calibri"/>
            <a:cs typeface="Calibri"/>
          </a:endParaRPr>
        </a:p>
      </xdr:txBody>
    </xdr:sp>
    <xdr:clientData/>
  </xdr:twoCellAnchor>
  <xdr:twoCellAnchor>
    <xdr:from>
      <xdr:col>6</xdr:col>
      <xdr:colOff>50800</xdr:colOff>
      <xdr:row>3</xdr:row>
      <xdr:rowOff>12700</xdr:rowOff>
    </xdr:from>
    <xdr:to>
      <xdr:col>6</xdr:col>
      <xdr:colOff>317500</xdr:colOff>
      <xdr:row>10</xdr:row>
      <xdr:rowOff>127000</xdr:rowOff>
    </xdr:to>
    <xdr:sp macro="" textlink="">
      <xdr:nvSpPr>
        <xdr:cNvPr id="104924" name="Parentesi graffa chiusa 2">
          <a:extLst>
            <a:ext uri="{FF2B5EF4-FFF2-40B4-BE49-F238E27FC236}">
              <a16:creationId xmlns:a16="http://schemas.microsoft.com/office/drawing/2014/main" id="{00000000-0008-0000-0600-0000DC990100}"/>
            </a:ext>
          </a:extLst>
        </xdr:cNvPr>
        <xdr:cNvSpPr>
          <a:spLocks/>
        </xdr:cNvSpPr>
      </xdr:nvSpPr>
      <xdr:spPr bwMode="auto">
        <a:xfrm>
          <a:off x="9271000" y="609600"/>
          <a:ext cx="266700" cy="1270000"/>
        </a:xfrm>
        <a:prstGeom prst="rightBrace">
          <a:avLst>
            <a:gd name="adj1" fmla="val 7143"/>
            <a:gd name="adj2" fmla="val 50000"/>
          </a:avLst>
        </a:prstGeom>
        <a:noFill/>
        <a:ln w="25400">
          <a:solidFill>
            <a:srgbClr val="4F81BD"/>
          </a:solidFill>
          <a:round/>
          <a:headEnd/>
          <a:tailEnd/>
        </a:ln>
        <a:effectLst>
          <a:outerShdw blurRad="63500" dist="20000" dir="5400000" rotWithShape="0">
            <a:srgbClr val="000000">
              <a:alpha val="37999"/>
            </a:srgbClr>
          </a:outerShdw>
        </a:effectLst>
        <a:extLst>
          <a:ext uri="{909E8E84-426E-40dd-AFC4-6F175D3DCCD1}">
            <a14:hiddenFill xmlns:a14="http://schemas.microsoft.com/office/drawing/2010/main" xmlns="">
              <a:solidFill>
                <a:srgbClr val="FFFFFF"/>
              </a:solidFill>
            </a14:hiddenFill>
          </a:ext>
        </a:extLst>
      </xdr:spPr>
      <xdr:txBody>
        <a:bodyPr rtlCol="0"/>
        <a:lstStyle/>
        <a:p>
          <a:endParaRPr lang="it-IT"/>
        </a:p>
      </xdr:txBody>
    </xdr:sp>
    <xdr:clientData/>
  </xdr:twoCellAnchor>
  <xdr:twoCellAnchor>
    <xdr:from>
      <xdr:col>6</xdr:col>
      <xdr:colOff>406400</xdr:colOff>
      <xdr:row>4</xdr:row>
      <xdr:rowOff>114300</xdr:rowOff>
    </xdr:from>
    <xdr:to>
      <xdr:col>10</xdr:col>
      <xdr:colOff>355600</xdr:colOff>
      <xdr:row>9</xdr:row>
      <xdr:rowOff>12700</xdr:rowOff>
    </xdr:to>
    <xdr:sp macro="" textlink="">
      <xdr:nvSpPr>
        <xdr:cNvPr id="104925" name="CasellaDiTesto 5">
          <a:extLst>
            <a:ext uri="{FF2B5EF4-FFF2-40B4-BE49-F238E27FC236}">
              <a16:creationId xmlns:a16="http://schemas.microsoft.com/office/drawing/2014/main" id="{00000000-0008-0000-0600-0000DD990100}"/>
            </a:ext>
          </a:extLst>
        </xdr:cNvPr>
        <xdr:cNvSpPr txBox="1">
          <a:spLocks noChangeArrowheads="1"/>
        </xdr:cNvSpPr>
      </xdr:nvSpPr>
      <xdr:spPr bwMode="auto">
        <a:xfrm>
          <a:off x="9626600" y="876300"/>
          <a:ext cx="2794000" cy="723900"/>
        </a:xfrm>
        <a:prstGeom prst="rect">
          <a:avLst/>
        </a:prstGeom>
        <a:solidFill>
          <a:srgbClr val="F2DCDB"/>
        </a:solidFill>
        <a:ln w="9525">
          <a:solidFill>
            <a:srgbClr val="BCBCBC"/>
          </a:solidFill>
          <a:miter lim="800000"/>
          <a:headEnd/>
          <a:tailEnd/>
        </a:ln>
        <a:effectLst>
          <a:outerShdw blurRad="63500" dist="38100" dir="2700000" algn="tl" rotWithShape="0">
            <a:srgbClr val="000000">
              <a:alpha val="42998"/>
            </a:srgbClr>
          </a:outerShdw>
        </a:effectLst>
      </xdr:spPr>
      <xdr:txBody>
        <a:bodyPr vertOverflow="clip" wrap="square" lIns="36576" tIns="32004" rIns="36576" bIns="0" anchor="t" upright="1"/>
        <a:lstStyle/>
        <a:p>
          <a:pPr algn="just" rtl="0">
            <a:defRPr sz="1000"/>
          </a:pPr>
          <a:r>
            <a:rPr lang="it-IT" sz="1800" b="0" i="0" u="none" strike="noStrike" baseline="0">
              <a:solidFill>
                <a:srgbClr val="000000"/>
              </a:solidFill>
              <a:latin typeface="Calibri"/>
              <a:ea typeface="Calibri"/>
              <a:cs typeface="Calibri"/>
            </a:rPr>
            <a:t>Link between income statement and cash flow</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203200</xdr:colOff>
      <xdr:row>37</xdr:row>
      <xdr:rowOff>25400</xdr:rowOff>
    </xdr:from>
    <xdr:to>
      <xdr:col>17</xdr:col>
      <xdr:colOff>368300</xdr:colOff>
      <xdr:row>38</xdr:row>
      <xdr:rowOff>38100</xdr:rowOff>
    </xdr:to>
    <xdr:sp macro="" textlink="">
      <xdr:nvSpPr>
        <xdr:cNvPr id="207033" name="AutoShape 1">
          <a:extLst>
            <a:ext uri="{FF2B5EF4-FFF2-40B4-BE49-F238E27FC236}">
              <a16:creationId xmlns:a16="http://schemas.microsoft.com/office/drawing/2014/main" id="{00000000-0008-0000-0B00-0000B9280300}"/>
            </a:ext>
          </a:extLst>
        </xdr:cNvPr>
        <xdr:cNvSpPr>
          <a:spLocks/>
        </xdr:cNvSpPr>
      </xdr:nvSpPr>
      <xdr:spPr bwMode="auto">
        <a:xfrm rot="-5400000">
          <a:off x="5270500" y="673100"/>
          <a:ext cx="165100" cy="10299700"/>
        </a:xfrm>
        <a:prstGeom prst="rightBrace">
          <a:avLst>
            <a:gd name="adj1" fmla="val 519872"/>
            <a:gd name="adj2" fmla="val 41889"/>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lang="it-IT"/>
        </a:p>
      </xdr:txBody>
    </xdr:sp>
    <xdr:clientData/>
  </xdr:twoCellAnchor>
  <xdr:twoCellAnchor>
    <xdr:from>
      <xdr:col>21</xdr:col>
      <xdr:colOff>393700</xdr:colOff>
      <xdr:row>37</xdr:row>
      <xdr:rowOff>0</xdr:rowOff>
    </xdr:from>
    <xdr:to>
      <xdr:col>35</xdr:col>
      <xdr:colOff>50800</xdr:colOff>
      <xdr:row>38</xdr:row>
      <xdr:rowOff>101600</xdr:rowOff>
    </xdr:to>
    <xdr:sp macro="" textlink="">
      <xdr:nvSpPr>
        <xdr:cNvPr id="207034" name="AutoShape 3">
          <a:extLst>
            <a:ext uri="{FF2B5EF4-FFF2-40B4-BE49-F238E27FC236}">
              <a16:creationId xmlns:a16="http://schemas.microsoft.com/office/drawing/2014/main" id="{00000000-0008-0000-0B00-0000BA280300}"/>
            </a:ext>
          </a:extLst>
        </xdr:cNvPr>
        <xdr:cNvSpPr>
          <a:spLocks/>
        </xdr:cNvSpPr>
      </xdr:nvSpPr>
      <xdr:spPr bwMode="auto">
        <a:xfrm rot="-5400000">
          <a:off x="16827500" y="1587500"/>
          <a:ext cx="254000" cy="8509000"/>
        </a:xfrm>
        <a:prstGeom prst="rightBrace">
          <a:avLst>
            <a:gd name="adj1" fmla="val 279167"/>
            <a:gd name="adj2" fmla="val 39551"/>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lang="it-IT"/>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76200</xdr:colOff>
      <xdr:row>2</xdr:row>
      <xdr:rowOff>127000</xdr:rowOff>
    </xdr:from>
    <xdr:to>
      <xdr:col>7</xdr:col>
      <xdr:colOff>1524000</xdr:colOff>
      <xdr:row>7</xdr:row>
      <xdr:rowOff>76200</xdr:rowOff>
    </xdr:to>
    <xdr:grpSp>
      <xdr:nvGrpSpPr>
        <xdr:cNvPr id="87578" name="Gruppo 5">
          <a:hlinkClick xmlns:r="http://schemas.openxmlformats.org/officeDocument/2006/relationships" r:id="rId1"/>
          <a:extLst>
            <a:ext uri="{FF2B5EF4-FFF2-40B4-BE49-F238E27FC236}">
              <a16:creationId xmlns:a16="http://schemas.microsoft.com/office/drawing/2014/main" id="{00000000-0008-0000-0E00-00001A560100}"/>
            </a:ext>
          </a:extLst>
        </xdr:cNvPr>
        <xdr:cNvGrpSpPr>
          <a:grpSpLocks/>
        </xdr:cNvGrpSpPr>
      </xdr:nvGrpSpPr>
      <xdr:grpSpPr bwMode="auto">
        <a:xfrm>
          <a:off x="8473141" y="575235"/>
          <a:ext cx="1447800" cy="920377"/>
          <a:chOff x="3262325" y="292100"/>
          <a:chExt cx="2006600" cy="1434790"/>
        </a:xfrm>
      </xdr:grpSpPr>
      <xdr:pic>
        <xdr:nvPicPr>
          <xdr:cNvPr id="87579" name="Immagine 6" descr="WWW3.jpg">
            <a:extLst>
              <a:ext uri="{FF2B5EF4-FFF2-40B4-BE49-F238E27FC236}">
                <a16:creationId xmlns:a16="http://schemas.microsoft.com/office/drawing/2014/main" id="{00000000-0008-0000-0E00-00001B56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3800" y="292100"/>
            <a:ext cx="1146276"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CasellaDiTesto 7">
            <a:extLst>
              <a:ext uri="{FF2B5EF4-FFF2-40B4-BE49-F238E27FC236}">
                <a16:creationId xmlns:a16="http://schemas.microsoft.com/office/drawing/2014/main" id="{00000000-0008-0000-0E00-000008000000}"/>
              </a:ext>
            </a:extLst>
          </xdr:cNvPr>
          <xdr:cNvSpPr txBox="1"/>
        </xdr:nvSpPr>
        <xdr:spPr>
          <a:xfrm>
            <a:off x="3262325" y="1443974"/>
            <a:ext cx="2006600" cy="2829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Breakeven Point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mvnas\rmvarchivio\2002\Reportistica\03.Mar\Dati\03-Mar%20FIN%20(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Volumes\DAVIDE\Users\Davide\Downloads\SWISSMEMORYArner%20Corporate%20Finance\TOOLKIT\MODELLI\BP+Valutazio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mvnas\rmvarchivio\Arner%20Corporate%20Finance\TOOLKIT\MODELLI\BP+Valutazio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Companies%20P-S\PPM%20Ventures%20Main%20Folder\PPM%20Ventures%20re%20Rose\Numbers\DCF_Multiples%20valuation\CompCos%20and%20CompTrans\Comps%20(July%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mvnas\rmvarchivio\S\Companies%20P-S\PPM%20Ventures%20Main%20Folder\PPM%20Ventures%20re%20Rose\Numbers\DCF_Multiples%20valuation\CompCos%20and%20CompTrans\Comps%20(July%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rcflons0002\companies\Companies%20I-M\Morgan%20Stanley%20Main%20Folder\Morgan%20Stanley%20re%20Northumbrian\Numbers\Non%20reg%20business\Material\DCF%20170303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Rmvnas\rmvarchivio\@\rcflons0002\companies\Companies%20I-M\Morgan%20Stanley%20Main%20Folder\Morgan%20Stanley%20re%20Northumbrian\Numbers\Non%20reg%20business\Material\DCF%20170303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A\Documents%20and%20Settings\querci\Desktop\Internet%20Cache%20Files\OLK90\Multiples%20version%20009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mvnas\rmvarchivio\A\Documents%20and%20Settings\querci\Desktop\Internet%20Cache%20Files\OLK90\Multiples%20version%20009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tserver\vol2\Soditic%20Vol2\CLIENTI\Door\Piano\BP%20Inviati%20a%20Carlyle\LINCE_Buyout_model_V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Rmvnas\rmvarchivio\@\Ntserver\vol2\Soditic%20Vol2\CLIENTI\Door\Piano\BP%20Inviati%20a%20Carlyle\LINCE_Buyout_model_V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mvnas\rmvarchivio\Financial%20Sponsors\Library%20&amp;%20Templates%20-%20Models\LBO\Private\old%20versions\blank.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CFLONS0002\companies\Companies%20A-D\Communisis%20Main%20Folder\Communisis%20re%20Earl\Numbers\Edotech%20LBO%2010%20nov%2003%20j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mvnas\rmvarchivio\@\RCFLONS0002\companies\Companies%20A-D\Communisis%20Main%20Folder\Communisis%20re%20Earl\Numbers\Edotech%20LBO%2010%20nov%2003%20j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F\Comune\ControlloGestione\2002%20corporate\Consolidato\rep%202002%20prin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mvnas\rmvarchivio\F\Comune\ControlloGestione\2002%20corporate\Consolidato\rep%202002%20prin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A\Documents%20and%20Settings\querci\Desktop\Internet%20Cache%20Files\OLK90\Multiples%20version%20009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Rmvnas\rmvarchivio\A\Documents%20and%20Settings\querci\Desktop\Internet%20Cache%20Files\OLK90\Multiples%20version%20009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Irb\Gener\GenerCa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Rmvnas\rmvarchivio\L\Irb\Gener\GenerCa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Volumes\DAVIDE\Users\Davide\Downloads\SWISSMEMORYUsers\digoncelliveroni\Documents\Personale\Back%20up\Documenti\Knowledge%20base\miei%20files\Dayco%20FF%20Financing%20Case%2019%20dicembre%202007%20spread%203.5%25%20e%20mark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192.168.1.4\Public\DATI\ENI\Modello%2020.12.2000\Proiezioni%2020.12.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92.168.1.2\public\SERVER\Progetti%20On%20Going\Safosa\Due%20diligence\Safosa\Budget\Analisi%20CE%20SP%20CF%20Safosa%2012_02_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Rmvnas\rmvarchivio\@\192.168.1.4\Public\DATI\ENI\Modello%2020.12.2000\Proiezioni%2020.12.20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_!%20TEMPLATES+FORMS+MODELS%20etc\_MODELS\_%20DCF%20(partly%20incl.%20accret%20dilut)\Project%20Auror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Rmvnas\rmvarchivio\M\_!%20TEMPLATES+FORMS+MODELS%20etc\_MODELS\_%20DCF%20(partly%20incl.%20accret%20dilut)\Project%20Auror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A\Book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Rmvnas\rmvarchivio\A\Book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Rotmils0001\macdisk\cartelle%20personali\Irving\Oakley\SunglassComps2(revis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Rmvnas\rmvarchivio\@\Rotmils0001\macdisk\cartelle%20personali\Irving\Oakley\SunglassComps2(revis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M\WINDOWS\TEMP\Finland_Quarterly.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mvnas\rmvarchivio\M\WINDOWS\TEMP\Finland_Quarterl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Rotmils0001\macdisk\BILLY\LENDER\RIVIANA\BRNCOM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Rmvnas\rmvarchivio\@\192.168.1.2\public\SERVER\Progetti%20On%20Going\Safosa\Due%20diligence\Safosa\Budget\Analisi%20CE%20SP%20CF%20Safosa%2012_02_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Rmvnas\rmvarchivio\@\Rotmils0001\macdisk\BILLY\LENDER\RIVIANA\BRNCOM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192.168.1.4\Public\DATI\Pozzoni\Rotocalcografica%20Italiana\DCF.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Rmvnas\rmvarchivio\@\192.168.1.4\Public\DATI\Pozzoni\Rotocalcografica%20Italiana\D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Volumes\DAVIDE\Users\Davide\Downloads\SWISSMEMORYInternet%20Cache%20Files\Pollyconcept_LBO%20(14oct0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Rmvnas\rmvarchivio\Internet%20Cache%20Files\Pollyconcept_LBO%20(14oct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RCFLONS0002\companies\Companies%20I-M\ICI%20Main%20Folder\ICI%20re%20General\Numbers\DCF%20models%20(NF).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mvnas\rmvarchivio\@\RCFLONS0002\companies\Companies%20I-M\ICI%20Main%20Folder\ICI%20re%20General\Numbers\DCF%20models%20(NF).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rcflons0002\companies\Companies%20I-M\ICI%20Main%20Folder\ICI%20re%20General\Numbers\DCF%20mode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Rmvnas\rmvarchivio\@\rcflons0002\companies\Companies%20I-M\ICI%20Main%20Folder\ICI%20re%20General\Numbers\DCF%20model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F\CONSO\P&amp;LFUF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otmils0001\macdisk\TRANVAN\TEMPLATE\MAJO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Rmvnas\rmvarchivio\F\CONSO\P&amp;LFUFH.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Volumes\DAVIDE\Users\Davide\Downloads\SWISSMEMORY29%20ottobre\SWISSMEMORYUsers\digoncelliveroni\Downloads\Business%20Plan%20Start-up%20-%20Tocci%2020121005.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Ntserver\vol2\Documents%20and%20Settings\PFMurtas\Local%20Settings\Temporary%20Internet%20Files\OLK95\Seat%20Model%20v1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Rmvnas\rmvarchivio\@\Ntserver\vol2\Documents%20and%20Settings\PFMurtas\Local%20Settings\Temporary%20Internet%20Files\OLK95\Seat%20Model%20v1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Volumes\DAVIDE\Users\Davide\Downloads\SWISSMEMORYM%20&amp;%20A\MNE%20re%20ELTA\MNE%20re%20ELTA\Numbers\2002%20business%20plans\ELTA%2002073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Rmvnas\rmvarchivio\M%20&amp;%20A\MNE%20re%20ELTA\MNE%20re%20ELTA\Numbers\2002%20business%20plans\ELTA%200207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mvnas\rmvarchivio\@\Rotmils0001\macdisk\TRANVAN\TEMPLATE\MAJ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G\English%20Business%20Plan%2023%20ottobre%20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Volumes\DAVIDE\Users\Davide\Downloads\SWISSMEMORY29%20ottobre\SWISSMEMORYUsers\digoncelliveroni\Downloads\BP%20-%20integrazioni\92.eva_tree_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Volumes\DAVIDE\Users\Davide\Downloads\Nuova%20cartella\BP%20-%20integrazioni\92.eva_tree_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Bdg"/>
      <sheetName val="IN Act"/>
      <sheetName val="IN Py"/>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ilogo BP"/>
      <sheetName val="SUMMARY BP"/>
      <sheetName val="SP"/>
      <sheetName val="CE"/>
      <sheetName val="CASHFLOWS"/>
      <sheetName val="RATIOS"/>
      <sheetName val="GRAPHS"/>
      <sheetName val="SALES"/>
      <sheetName val="COSTS"/>
      <sheetName val="WC"/>
      <sheetName val="CAPEX"/>
      <sheetName val="FINANCE"/>
      <sheetName val="EQUITY"/>
      <sheetName val="OTHER"/>
      <sheetName val="Input SP"/>
      <sheetName val="Input CE"/>
      <sheetName val="Riepilogo Valuation"/>
      <sheetName val="SUMMARY Valuation"/>
      <sheetName val="Hist. Prices"/>
      <sheetName val="Bloom Links"/>
      <sheetName val="Financials"/>
      <sheetName val="Margins"/>
      <sheetName val="Multiples"/>
      <sheetName val="Growth"/>
      <sheetName val="Appl. Multipli"/>
      <sheetName val="WACC"/>
      <sheetName val="DCF"/>
      <sheetName val="Implied"/>
      <sheetName val="Hist Mkt Cap"/>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om Link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s (2)"/>
      <sheetName val="Cover"/>
      <sheetName val="Outputs No graph links"/>
      <sheetName val="Comp trans"/>
      <sheetName val="Outputs"/>
      <sheetName val="Control (In)"/>
      <sheetName val="Communisis"/>
      <sheetName val="4imprint"/>
      <sheetName val="De la Rue"/>
      <sheetName val="Donnelley"/>
      <sheetName val="Bowne"/>
      <sheetName val="Pitney Bowes"/>
      <sheetName val="Bunzl"/>
      <sheetName val="Hays"/>
      <sheetName val="PHS"/>
      <sheetName val="Compass"/>
      <sheetName val="Wyndeham"/>
      <sheetName val="St Ives"/>
      <sheetName val="Access Plus"/>
      <sheetName val="Quebecor "/>
      <sheetName val="Capita"/>
      <sheetName val="EDS"/>
      <sheetName val="Xerox"/>
      <sheetName val="IKON"/>
      <sheetName val="Wipro"/>
      <sheetName val="T"/>
      <sheetName val="U"/>
      <sheetName val="V"/>
      <sheetName val="W"/>
      <sheetName val="X"/>
      <sheetName val="Y"/>
      <sheetName val="Z"/>
      <sheetName val="AA"/>
      <sheetName val="AN"/>
      <sheetName val="CC"/>
      <sheetName val="DD"/>
      <sheetName val="EE"/>
      <sheetName val="FF"/>
      <sheetName val="GG"/>
      <sheetName val="HH"/>
      <sheetName val="II"/>
      <sheetName val="JJ"/>
      <sheetName val="KK"/>
      <sheetName val="LL"/>
      <sheetName val="MM"/>
      <sheetName val="NN"/>
      <sheetName val="Workings"/>
    </sheetNames>
    <sheetDataSet>
      <sheetData sheetId="0" refreshError="1"/>
      <sheetData sheetId="1" refreshError="1"/>
      <sheetData sheetId="2" refreshError="1"/>
      <sheetData sheetId="3" refreshError="1"/>
      <sheetData sheetId="4" refreshError="1"/>
      <sheetData sheetId="5">
        <row r="5">
          <cell r="M5" t="str">
            <v>Dividend yield</v>
          </cell>
          <cell r="N5" t="str">
            <v>DPS</v>
          </cell>
          <cell r="O5" t="str">
            <v>Communisis</v>
          </cell>
        </row>
        <row r="6">
          <cell r="M6" t="str">
            <v>EBITA growth</v>
          </cell>
          <cell r="N6" t="str">
            <v>EBITA</v>
          </cell>
          <cell r="O6" t="str">
            <v>4imprint</v>
          </cell>
        </row>
        <row r="7">
          <cell r="M7" t="str">
            <v>EBITA margin</v>
          </cell>
          <cell r="N7" t="str">
            <v>EBITA</v>
          </cell>
          <cell r="O7" t="str">
            <v>De la Rue</v>
          </cell>
        </row>
        <row r="8">
          <cell r="F8" t="str">
            <v>December</v>
          </cell>
          <cell r="M8" t="str">
            <v>EBITDA growth</v>
          </cell>
          <cell r="N8" t="str">
            <v>EBITDA</v>
          </cell>
          <cell r="O8" t="str">
            <v>Donnelley</v>
          </cell>
        </row>
        <row r="9">
          <cell r="M9" t="str">
            <v>EBITDA margin</v>
          </cell>
          <cell r="N9" t="str">
            <v>EBITDA</v>
          </cell>
          <cell r="O9" t="str">
            <v>Bowne</v>
          </cell>
        </row>
        <row r="10">
          <cell r="M10" t="str">
            <v>EBITDA/Net interest paid</v>
          </cell>
          <cell r="O10" t="str">
            <v>Pitney Bowes</v>
          </cell>
        </row>
        <row r="11">
          <cell r="M11" t="str">
            <v>EBITDA-Capex/Net interest paid</v>
          </cell>
          <cell r="O11" t="str">
            <v>Bunzl</v>
          </cell>
        </row>
        <row r="12">
          <cell r="G12">
            <v>37621</v>
          </cell>
          <cell r="M12" t="str">
            <v>EV/EBITA</v>
          </cell>
          <cell r="N12" t="str">
            <v>EBITA</v>
          </cell>
          <cell r="O12" t="str">
            <v>Hays</v>
          </cell>
        </row>
        <row r="13">
          <cell r="M13" t="str">
            <v>EV/EBITDA</v>
          </cell>
          <cell r="N13" t="str">
            <v>EBITDA</v>
          </cell>
          <cell r="O13" t="str">
            <v>PHS</v>
          </cell>
        </row>
        <row r="14">
          <cell r="M14" t="str">
            <v>EV/Free cash flow</v>
          </cell>
          <cell r="N14" t="str">
            <v>Free cash flow</v>
          </cell>
          <cell r="O14" t="str">
            <v xml:space="preserve">Compass </v>
          </cell>
        </row>
        <row r="15">
          <cell r="M15" t="str">
            <v>EV/EBIT</v>
          </cell>
          <cell r="N15" t="str">
            <v>EBIT</v>
          </cell>
          <cell r="O15" t="str">
            <v xml:space="preserve">Wyndeham </v>
          </cell>
        </row>
        <row r="16">
          <cell r="M16" t="str">
            <v>EV/Sales</v>
          </cell>
          <cell r="N16" t="str">
            <v>Sales</v>
          </cell>
          <cell r="O16" t="str">
            <v>St Ives</v>
          </cell>
        </row>
        <row r="17">
          <cell r="M17" t="str">
            <v>Gearing (D/(D+E))</v>
          </cell>
          <cell r="O17" t="str">
            <v>Access Plus</v>
          </cell>
        </row>
        <row r="18">
          <cell r="M18" t="str">
            <v>Gearing (D/E)</v>
          </cell>
          <cell r="O18" t="str">
            <v>Quebecor World</v>
          </cell>
        </row>
        <row r="19">
          <cell r="M19" t="str">
            <v>Gross profit growth</v>
          </cell>
          <cell r="N19" t="str">
            <v>Gross profit</v>
          </cell>
          <cell r="O19" t="str">
            <v>Capita</v>
          </cell>
        </row>
        <row r="20">
          <cell r="M20" t="str">
            <v>Gross profit margin</v>
          </cell>
          <cell r="N20" t="str">
            <v>Gross profit</v>
          </cell>
          <cell r="O20" t="str">
            <v>EDS</v>
          </cell>
        </row>
        <row r="21">
          <cell r="M21" t="str">
            <v>Net debt/EBITDA</v>
          </cell>
          <cell r="O21" t="str">
            <v>Xerox</v>
          </cell>
        </row>
        <row r="22">
          <cell r="M22" t="str">
            <v>Net debt/Free cash flow</v>
          </cell>
          <cell r="O22" t="str">
            <v>IKON</v>
          </cell>
        </row>
        <row r="23">
          <cell r="M23" t="str">
            <v>EBIT growth</v>
          </cell>
          <cell r="N23" t="str">
            <v>EBIT</v>
          </cell>
          <cell r="O23" t="str">
            <v>Wipro</v>
          </cell>
        </row>
        <row r="24">
          <cell r="M24" t="str">
            <v>EBIT margin</v>
          </cell>
          <cell r="N24" t="str">
            <v>EBIT</v>
          </cell>
          <cell r="O24">
            <v>0</v>
          </cell>
        </row>
        <row r="25">
          <cell r="M25" t="str">
            <v>EBIT/Net interest paid</v>
          </cell>
          <cell r="O25">
            <v>0</v>
          </cell>
        </row>
        <row r="26">
          <cell r="M26" t="str">
            <v>P/book</v>
          </cell>
          <cell r="O26">
            <v>0</v>
          </cell>
        </row>
        <row r="27">
          <cell r="M27" t="str">
            <v>P/EPS as reported</v>
          </cell>
          <cell r="N27" t="str">
            <v>EPS</v>
          </cell>
          <cell r="O27">
            <v>0</v>
          </cell>
        </row>
        <row r="28">
          <cell r="M28" t="str">
            <v>P/EPS normalised</v>
          </cell>
          <cell r="N28" t="str">
            <v>EPS</v>
          </cell>
          <cell r="O28">
            <v>0</v>
          </cell>
        </row>
        <row r="29">
          <cell r="M29" t="str">
            <v>P/EPS normalised, pre-goodwill</v>
          </cell>
          <cell r="N29" t="str">
            <v>EPS</v>
          </cell>
          <cell r="O29">
            <v>0</v>
          </cell>
        </row>
        <row r="30">
          <cell r="M30" t="str">
            <v>P/FCF per share</v>
          </cell>
          <cell r="N30" t="str">
            <v>FCF per share</v>
          </cell>
          <cell r="O30">
            <v>0</v>
          </cell>
        </row>
        <row r="31">
          <cell r="M31" t="str">
            <v>PEG</v>
          </cell>
          <cell r="N31" t="str">
            <v>EPS</v>
          </cell>
          <cell r="O31">
            <v>0</v>
          </cell>
        </row>
        <row r="32">
          <cell r="M32" t="str">
            <v>Return on capital employed</v>
          </cell>
          <cell r="O32">
            <v>0</v>
          </cell>
        </row>
        <row r="33">
          <cell r="M33" t="str">
            <v>Return on net assets</v>
          </cell>
          <cell r="O33">
            <v>0</v>
          </cell>
        </row>
        <row r="34">
          <cell r="M34" t="str">
            <v>Sales growth</v>
          </cell>
          <cell r="N34" t="str">
            <v>Sales</v>
          </cell>
          <cell r="O34">
            <v>0</v>
          </cell>
        </row>
        <row r="35">
          <cell r="M35">
            <v>0</v>
          </cell>
          <cell r="N35" t="str">
            <v>EPS</v>
          </cell>
          <cell r="O35">
            <v>0</v>
          </cell>
        </row>
        <row r="36">
          <cell r="M36">
            <v>0</v>
          </cell>
          <cell r="O36">
            <v>0</v>
          </cell>
        </row>
        <row r="37">
          <cell r="M37">
            <v>0</v>
          </cell>
          <cell r="O37">
            <v>0</v>
          </cell>
        </row>
        <row r="38">
          <cell r="M38">
            <v>0</v>
          </cell>
          <cell r="O38">
            <v>0</v>
          </cell>
        </row>
        <row r="39">
          <cell r="O39">
            <v>0</v>
          </cell>
        </row>
        <row r="40">
          <cell r="O40">
            <v>0</v>
          </cell>
        </row>
        <row r="41">
          <cell r="O41">
            <v>0</v>
          </cell>
        </row>
        <row r="42">
          <cell r="O42">
            <v>0</v>
          </cell>
        </row>
        <row r="43">
          <cell r="O43">
            <v>0</v>
          </cell>
        </row>
        <row r="44">
          <cell r="O4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ow r="10">
          <cell r="B10" t="str">
            <v>Communisis</v>
          </cell>
          <cell r="D10" t="str">
            <v/>
          </cell>
          <cell r="E10" t="str">
            <v>p</v>
          </cell>
          <cell r="F10">
            <v>126.5</v>
          </cell>
          <cell r="G10" t="str">
            <v>£m</v>
          </cell>
          <cell r="H10">
            <v>181.809595</v>
          </cell>
          <cell r="I10">
            <v>181.809595</v>
          </cell>
          <cell r="J10">
            <v>201.809595</v>
          </cell>
          <cell r="K10">
            <v>201.809595</v>
          </cell>
          <cell r="L10">
            <v>0.76988362644489372</v>
          </cell>
          <cell r="M10">
            <v>0.6350207520453115</v>
          </cell>
          <cell r="N10">
            <v>0.59443179675994107</v>
          </cell>
          <cell r="O10">
            <v>0.13805047806623594</v>
          </cell>
          <cell r="P10">
            <v>5.5750046962623276</v>
          </cell>
          <cell r="Q10">
            <v>5.1746049999999997</v>
          </cell>
          <cell r="R10">
            <v>4.5761812925170071</v>
          </cell>
          <cell r="S10">
            <v>0.10375074085930169</v>
          </cell>
          <cell r="T10">
            <v>8.055949662688116</v>
          </cell>
          <cell r="U10">
            <v>7.5022154275092943</v>
          </cell>
          <cell r="V10">
            <v>6.8410032203389832</v>
          </cell>
          <cell r="W10">
            <v>8.5171737878660059E-2</v>
          </cell>
          <cell r="X10">
            <v>8.055949662688116</v>
          </cell>
          <cell r="Y10">
            <v>7.5022154275092943</v>
          </cell>
          <cell r="Z10">
            <v>6.8410032203389832</v>
          </cell>
          <cell r="AA10">
            <v>8.5171737878660059E-2</v>
          </cell>
          <cell r="AB10">
            <v>10.377358490566039</v>
          </cell>
          <cell r="AC10">
            <v>10.218493643089104</v>
          </cell>
          <cell r="AD10">
            <v>9.0489545500176956</v>
          </cell>
          <cell r="AE10">
            <v>7.0888380862881295E-2</v>
          </cell>
        </row>
        <row r="11">
          <cell r="B11" t="str">
            <v>4imprint</v>
          </cell>
          <cell r="D11" t="str">
            <v/>
          </cell>
          <cell r="E11" t="str">
            <v>p</v>
          </cell>
          <cell r="F11">
            <v>45</v>
          </cell>
          <cell r="G11" t="str">
            <v>£m</v>
          </cell>
          <cell r="H11">
            <v>12.92085</v>
          </cell>
          <cell r="I11">
            <v>12.92085</v>
          </cell>
          <cell r="J11">
            <v>8.0928499999999985</v>
          </cell>
          <cell r="K11">
            <v>8.0928499999999985</v>
          </cell>
          <cell r="L11">
            <v>8.5525495376486113E-2</v>
          </cell>
          <cell r="M11">
            <v>8.4300520833333323E-2</v>
          </cell>
          <cell r="N11">
            <v>8.0928499999999987E-2</v>
          </cell>
          <cell r="O11">
            <v>2.8009324086854415E-2</v>
          </cell>
          <cell r="P11">
            <v>1.6976819802810987</v>
          </cell>
          <cell r="Q11">
            <v>1.6733662227510311</v>
          </cell>
          <cell r="R11">
            <v>1.4197982456140348</v>
          </cell>
          <cell r="S11">
            <v>9.349009093840932E-2</v>
          </cell>
          <cell r="T11">
            <v>3.4175886824324313</v>
          </cell>
          <cell r="U11">
            <v>3.3686388445330091</v>
          </cell>
          <cell r="V11">
            <v>2.4778025236322567</v>
          </cell>
          <cell r="W11">
            <v>0.17442841661453445</v>
          </cell>
          <cell r="X11">
            <v>3.4175886824324313</v>
          </cell>
          <cell r="Y11">
            <v>3.3686388445330091</v>
          </cell>
          <cell r="Z11">
            <v>2.4778025236322567</v>
          </cell>
          <cell r="AA11">
            <v>0.17442841661453445</v>
          </cell>
          <cell r="AB11">
            <v>7.0644341170038274</v>
          </cell>
          <cell r="AC11">
            <v>7.0103534245868442</v>
          </cell>
          <cell r="AD11">
            <v>3.8866166812059282</v>
          </cell>
          <cell r="AE11">
            <v>0.34819537970132663</v>
          </cell>
        </row>
        <row r="12">
          <cell r="B12" t="str">
            <v>De la Rue</v>
          </cell>
          <cell r="D12" t="str">
            <v/>
          </cell>
          <cell r="E12" t="str">
            <v>p</v>
          </cell>
          <cell r="F12">
            <v>246.5</v>
          </cell>
          <cell r="G12" t="str">
            <v>£m</v>
          </cell>
          <cell r="H12">
            <v>452.72190000000001</v>
          </cell>
          <cell r="I12">
            <v>452.72190000000001</v>
          </cell>
          <cell r="J12">
            <v>467.02190000000002</v>
          </cell>
          <cell r="K12">
            <v>467.02190000000002</v>
          </cell>
          <cell r="L12">
            <v>0.77890154923109611</v>
          </cell>
          <cell r="M12">
            <v>0.79205723333124245</v>
          </cell>
          <cell r="N12">
            <v>0.7619615651093351</v>
          </cell>
          <cell r="O12">
            <v>1.1054930092999626E-2</v>
          </cell>
          <cell r="P12">
            <v>5.2750423487544484</v>
          </cell>
          <cell r="Q12">
            <v>22.601828891540709</v>
          </cell>
          <cell r="R12" t="str">
            <v>nm</v>
          </cell>
          <cell r="S12">
            <v>-1</v>
          </cell>
          <cell r="T12">
            <v>9.8487978680379022</v>
          </cell>
          <cell r="U12">
            <v>13.122632294072364</v>
          </cell>
          <cell r="V12">
            <v>11.545463341122288</v>
          </cell>
          <cell r="W12">
            <v>-7.6395736931399116E-2</v>
          </cell>
          <cell r="X12">
            <v>9.8487978680379022</v>
          </cell>
          <cell r="Y12">
            <v>13.122632294072364</v>
          </cell>
          <cell r="Z12">
            <v>11.545463341122288</v>
          </cell>
          <cell r="AA12">
            <v>-7.6395736931399116E-2</v>
          </cell>
          <cell r="AB12">
            <v>10.792469041865322</v>
          </cell>
          <cell r="AC12">
            <v>14.760420105689661</v>
          </cell>
          <cell r="AD12">
            <v>13.783607813098429</v>
          </cell>
          <cell r="AE12">
            <v>-0.11513105816930369</v>
          </cell>
        </row>
        <row r="13">
          <cell r="B13" t="str">
            <v>Donnelley</v>
          </cell>
          <cell r="D13" t="str">
            <v/>
          </cell>
          <cell r="E13" t="str">
            <v>$</v>
          </cell>
          <cell r="F13">
            <v>27</v>
          </cell>
          <cell r="G13" t="str">
            <v>$m</v>
          </cell>
          <cell r="H13">
            <v>3059.1</v>
          </cell>
          <cell r="I13">
            <v>1960.4588567034091</v>
          </cell>
          <cell r="J13">
            <v>3003.9</v>
          </cell>
          <cell r="K13">
            <v>1925.0833119712893</v>
          </cell>
          <cell r="L13">
            <v>0.63174338587451317</v>
          </cell>
          <cell r="M13">
            <v>0.62259575526446687</v>
          </cell>
          <cell r="N13">
            <v>0.60401753398214431</v>
          </cell>
          <cell r="O13">
            <v>2.269369596304438E-2</v>
          </cell>
          <cell r="P13">
            <v>4.8123998718359502</v>
          </cell>
          <cell r="Q13">
            <v>5.1243602865916067</v>
          </cell>
          <cell r="R13">
            <v>4.8987279843444229</v>
          </cell>
          <cell r="S13">
            <v>-8.8504436124673402E-3</v>
          </cell>
          <cell r="T13">
            <v>8.9481680071492402</v>
          </cell>
          <cell r="U13">
            <v>9.7056542810985462</v>
          </cell>
          <cell r="V13">
            <v>9.1526508226691057</v>
          </cell>
          <cell r="W13">
            <v>-1.1233787100699777E-2</v>
          </cell>
          <cell r="X13">
            <v>8.9481680071492402</v>
          </cell>
          <cell r="Y13">
            <v>9.7056542810985462</v>
          </cell>
          <cell r="Z13">
            <v>9.1526508226691057</v>
          </cell>
          <cell r="AA13">
            <v>-1.1233787100699777E-2</v>
          </cell>
          <cell r="AB13">
            <v>18.230631704410012</v>
          </cell>
          <cell r="AC13">
            <v>20.641700404858298</v>
          </cell>
          <cell r="AD13">
            <v>18.317964071856288</v>
          </cell>
          <cell r="AE13">
            <v>-2.386638247522388E-3</v>
          </cell>
        </row>
        <row r="14">
          <cell r="B14" t="str">
            <v>Bowne</v>
          </cell>
          <cell r="D14" t="str">
            <v/>
          </cell>
          <cell r="E14" t="str">
            <v>$</v>
          </cell>
          <cell r="F14">
            <v>13.95</v>
          </cell>
          <cell r="G14" t="str">
            <v>$m</v>
          </cell>
          <cell r="H14">
            <v>468.98505</v>
          </cell>
          <cell r="I14">
            <v>300.55437708279925</v>
          </cell>
          <cell r="J14">
            <v>468.98505</v>
          </cell>
          <cell r="K14">
            <v>300.55437708279925</v>
          </cell>
          <cell r="L14">
            <v>0.46743037656753639</v>
          </cell>
          <cell r="M14">
            <v>0.42919836185595311</v>
          </cell>
          <cell r="N14">
            <v>0.38691943734015349</v>
          </cell>
          <cell r="O14">
            <v>9.9127799455379195E-2</v>
          </cell>
          <cell r="P14">
            <v>11.289690907777858</v>
          </cell>
          <cell r="Q14">
            <v>6.5965040227298299</v>
          </cell>
          <cell r="R14">
            <v>3.6825598925820353</v>
          </cell>
          <cell r="S14">
            <v>0.75091924602753379</v>
          </cell>
          <cell r="T14">
            <v>533.54385665529014</v>
          </cell>
          <cell r="U14">
            <v>17.532806833900331</v>
          </cell>
          <cell r="V14">
            <v>5.8718548891949416</v>
          </cell>
          <cell r="W14">
            <v>8.5322934745577736</v>
          </cell>
          <cell r="X14">
            <v>533.54385665529014</v>
          </cell>
          <cell r="Y14">
            <v>17.532806833900331</v>
          </cell>
          <cell r="Z14">
            <v>5.8718548891949416</v>
          </cell>
          <cell r="AA14">
            <v>8.5322934745577736</v>
          </cell>
          <cell r="AB14">
            <v>126.81818181818181</v>
          </cell>
          <cell r="AC14">
            <v>33.214285714285715</v>
          </cell>
          <cell r="AD14">
            <v>12.567567567567567</v>
          </cell>
          <cell r="AE14">
            <v>2.1766191290283907</v>
          </cell>
        </row>
        <row r="15">
          <cell r="B15" t="str">
            <v>Pitney Bowes</v>
          </cell>
          <cell r="D15" t="str">
            <v/>
          </cell>
          <cell r="E15" t="str">
            <v>$</v>
          </cell>
          <cell r="F15">
            <v>37.07</v>
          </cell>
          <cell r="G15" t="str">
            <v>$m</v>
          </cell>
          <cell r="H15">
            <v>8682.6466099999998</v>
          </cell>
          <cell r="I15">
            <v>5564.3723468341441</v>
          </cell>
          <cell r="J15">
            <v>12328.18161</v>
          </cell>
          <cell r="K15">
            <v>7900.6547103306839</v>
          </cell>
          <cell r="L15">
            <v>2.7956328200825431</v>
          </cell>
          <cell r="M15">
            <v>2.715279080677488</v>
          </cell>
          <cell r="N15">
            <v>2.5837119585036152</v>
          </cell>
          <cell r="O15">
            <v>4.0202797728323914E-2</v>
          </cell>
          <cell r="P15">
            <v>9.6612057599623817</v>
          </cell>
          <cell r="Q15">
            <v>9.350542247662462</v>
          </cell>
          <cell r="R15">
            <v>8.6128278461083632</v>
          </cell>
          <cell r="S15">
            <v>5.9114179667357103E-2</v>
          </cell>
          <cell r="T15">
            <v>12.184405623641034</v>
          </cell>
          <cell r="U15">
            <v>12.235194134577213</v>
          </cell>
          <cell r="V15">
            <v>11.159755236715849</v>
          </cell>
          <cell r="W15">
            <v>4.4900265354759217E-2</v>
          </cell>
          <cell r="X15">
            <v>12.184405623641034</v>
          </cell>
          <cell r="Y15">
            <v>12.235194134577213</v>
          </cell>
          <cell r="Z15">
            <v>11.159755236715849</v>
          </cell>
          <cell r="AA15">
            <v>4.4900265354759217E-2</v>
          </cell>
          <cell r="AB15">
            <v>15.179452115384615</v>
          </cell>
          <cell r="AC15">
            <v>15.445833333333335</v>
          </cell>
          <cell r="AD15">
            <v>13.98867924528302</v>
          </cell>
          <cell r="AE15">
            <v>4.1692871465259795E-2</v>
          </cell>
        </row>
        <row r="16">
          <cell r="B16" t="str">
            <v>Bunzl</v>
          </cell>
          <cell r="D16" t="str">
            <v/>
          </cell>
          <cell r="E16" t="str">
            <v>p</v>
          </cell>
          <cell r="F16">
            <v>438.25</v>
          </cell>
          <cell r="G16" t="str">
            <v>£m</v>
          </cell>
          <cell r="H16">
            <v>2013.77628</v>
          </cell>
          <cell r="I16">
            <v>2013.77628</v>
          </cell>
          <cell r="J16">
            <v>2111.6762800000001</v>
          </cell>
          <cell r="K16">
            <v>2111.6762800000001</v>
          </cell>
          <cell r="L16">
            <v>0.74478054526857829</v>
          </cell>
          <cell r="M16">
            <v>0.76435236543960627</v>
          </cell>
          <cell r="N16">
            <v>0.73969324646209889</v>
          </cell>
          <cell r="O16">
            <v>3.4328971546426779E-3</v>
          </cell>
          <cell r="P16">
            <v>8.4874448553054656</v>
          </cell>
          <cell r="Q16">
            <v>8.5875407889385933</v>
          </cell>
          <cell r="R16">
            <v>8.2390802965275078</v>
          </cell>
          <cell r="S16">
            <v>1.4960439886088306E-2</v>
          </cell>
          <cell r="T16">
            <v>9.8035110492107709</v>
          </cell>
          <cell r="U16">
            <v>9.6335596715328471</v>
          </cell>
          <cell r="V16">
            <v>9.2820935384615382</v>
          </cell>
          <cell r="W16">
            <v>2.7703536512390325E-2</v>
          </cell>
          <cell r="X16">
            <v>9.8035110492107709</v>
          </cell>
          <cell r="Y16">
            <v>9.6335596715328471</v>
          </cell>
          <cell r="Z16">
            <v>9.2820935384615382</v>
          </cell>
          <cell r="AA16">
            <v>2.7703536512390325E-2</v>
          </cell>
          <cell r="AB16">
            <v>14.251778343949043</v>
          </cell>
          <cell r="AC16">
            <v>14.529410389610391</v>
          </cell>
          <cell r="AD16">
            <v>14.052870062805306</v>
          </cell>
          <cell r="AE16">
            <v>7.0522735539624293E-3</v>
          </cell>
        </row>
        <row r="17">
          <cell r="B17" t="str">
            <v>Hays</v>
          </cell>
          <cell r="D17" t="str">
            <v/>
          </cell>
          <cell r="E17" t="str">
            <v>p</v>
          </cell>
          <cell r="F17">
            <v>101.5</v>
          </cell>
          <cell r="G17" t="str">
            <v>£m</v>
          </cell>
          <cell r="H17">
            <v>1755.95</v>
          </cell>
          <cell r="I17">
            <v>1755.95</v>
          </cell>
          <cell r="J17">
            <v>1988.95</v>
          </cell>
          <cell r="K17">
            <v>1988.95</v>
          </cell>
          <cell r="L17">
            <v>0.80904904856043425</v>
          </cell>
          <cell r="M17">
            <v>0.7966048922120077</v>
          </cell>
          <cell r="N17">
            <v>0.76704427189266811</v>
          </cell>
          <cell r="O17">
            <v>2.7016001505545617E-2</v>
          </cell>
          <cell r="P17">
            <v>6.9978162150490801</v>
          </cell>
          <cell r="Q17">
            <v>7.5179076269870038</v>
          </cell>
          <cell r="R17">
            <v>7.0509591103341123</v>
          </cell>
          <cell r="S17">
            <v>-3.7756146183631767E-3</v>
          </cell>
          <cell r="T17">
            <v>9.1485388761399982</v>
          </cell>
          <cell r="U17">
            <v>10.223155945474007</v>
          </cell>
          <cell r="V17">
            <v>9.4001832213287759</v>
          </cell>
          <cell r="W17">
            <v>-1.3475876233197126E-2</v>
          </cell>
          <cell r="X17">
            <v>9.1485388761399982</v>
          </cell>
          <cell r="Y17">
            <v>10.223155945474007</v>
          </cell>
          <cell r="Z17">
            <v>9.4001832213287759</v>
          </cell>
          <cell r="AA17">
            <v>-1.3475876233197126E-2</v>
          </cell>
          <cell r="AB17">
            <v>12.472473529245782</v>
          </cell>
          <cell r="AC17">
            <v>13.987511184827918</v>
          </cell>
          <cell r="AD17">
            <v>12.718215462158195</v>
          </cell>
          <cell r="AE17">
            <v>-9.7081466116490933E-3</v>
          </cell>
        </row>
        <row r="18">
          <cell r="B18" t="str">
            <v>PHS</v>
          </cell>
          <cell r="D18" t="str">
            <v/>
          </cell>
          <cell r="E18" t="str">
            <v>p</v>
          </cell>
          <cell r="F18">
            <v>74</v>
          </cell>
          <cell r="G18" t="str">
            <v>£m</v>
          </cell>
          <cell r="H18">
            <v>382.61329999999992</v>
          </cell>
          <cell r="I18">
            <v>382.61329999999992</v>
          </cell>
          <cell r="J18">
            <v>477.27729999999991</v>
          </cell>
          <cell r="K18">
            <v>477.27729999999991</v>
          </cell>
          <cell r="L18">
            <v>3.5676734949747151</v>
          </cell>
          <cell r="M18">
            <v>3.0783280097711332</v>
          </cell>
          <cell r="N18">
            <v>2.8084187409318067</v>
          </cell>
          <cell r="O18">
            <v>0.12709784579480199</v>
          </cell>
          <cell r="P18">
            <v>10.163313991443751</v>
          </cell>
          <cell r="Q18">
            <v>8.5880893316762474</v>
          </cell>
          <cell r="R18">
            <v>7.6444792110055495</v>
          </cell>
          <cell r="S18">
            <v>0.15303826357833672</v>
          </cell>
          <cell r="T18">
            <v>12.135213957366652</v>
          </cell>
          <cell r="U18">
            <v>10.277234407566889</v>
          </cell>
          <cell r="V18">
            <v>9.1466037225664163</v>
          </cell>
          <cell r="W18">
            <v>0.15184432542656556</v>
          </cell>
          <cell r="X18">
            <v>12.135213957366652</v>
          </cell>
          <cell r="Y18">
            <v>10.277234407566889</v>
          </cell>
          <cell r="Z18">
            <v>9.1466037225664163</v>
          </cell>
          <cell r="AA18">
            <v>0.15184432542656556</v>
          </cell>
          <cell r="AB18">
            <v>15.644820295983084</v>
          </cell>
          <cell r="AC18">
            <v>13.350468329090774</v>
          </cell>
          <cell r="AD18">
            <v>11.620952995589976</v>
          </cell>
          <cell r="AE18">
            <v>0.16028430386185</v>
          </cell>
        </row>
        <row r="19">
          <cell r="B19" t="str">
            <v xml:space="preserve">Compass </v>
          </cell>
          <cell r="D19" t="str">
            <v/>
          </cell>
          <cell r="E19" t="str">
            <v>p</v>
          </cell>
          <cell r="F19">
            <v>334.25</v>
          </cell>
          <cell r="G19" t="str">
            <v>£m</v>
          </cell>
          <cell r="H19">
            <v>7402.2135950000002</v>
          </cell>
          <cell r="I19">
            <v>7402.2135950000002</v>
          </cell>
          <cell r="J19">
            <v>9692.2135950000011</v>
          </cell>
          <cell r="K19">
            <v>9692.2135950000011</v>
          </cell>
          <cell r="L19">
            <v>0.9128956951116135</v>
          </cell>
          <cell r="M19">
            <v>0.87221374660283302</v>
          </cell>
          <cell r="N19">
            <v>0.82042151019578968</v>
          </cell>
          <cell r="O19">
            <v>5.4853286643976817E-2</v>
          </cell>
          <cell r="P19">
            <v>9.3644575797101464</v>
          </cell>
          <cell r="Q19">
            <v>9.4466019444444456</v>
          </cell>
          <cell r="R19">
            <v>8.7081883153638824</v>
          </cell>
          <cell r="S19">
            <v>3.6996778606654956E-2</v>
          </cell>
          <cell r="T19">
            <v>12.040016888198759</v>
          </cell>
          <cell r="U19">
            <v>12.392550306866131</v>
          </cell>
          <cell r="V19">
            <v>11.508208970553314</v>
          </cell>
          <cell r="W19">
            <v>2.2844651021954432E-2</v>
          </cell>
          <cell r="X19">
            <v>12.040016888198759</v>
          </cell>
          <cell r="Y19">
            <v>12.392550306866131</v>
          </cell>
          <cell r="Z19">
            <v>11.508208970553314</v>
          </cell>
          <cell r="AA19">
            <v>2.2844651021954432E-2</v>
          </cell>
          <cell r="AB19">
            <v>14.984238046558705</v>
          </cell>
          <cell r="AC19">
            <v>16.318813040123455</v>
          </cell>
          <cell r="AD19">
            <v>14.542659322200391</v>
          </cell>
          <cell r="AE19">
            <v>1.5068654067120546E-2</v>
          </cell>
        </row>
        <row r="20">
          <cell r="B20" t="str">
            <v xml:space="preserve">Wyndeham </v>
          </cell>
          <cell r="D20" t="str">
            <v/>
          </cell>
          <cell r="E20" t="str">
            <v>p</v>
          </cell>
          <cell r="F20">
            <v>127.5</v>
          </cell>
          <cell r="G20" t="str">
            <v>£m</v>
          </cell>
          <cell r="H20">
            <v>55.717500000000001</v>
          </cell>
          <cell r="I20">
            <v>55.717500000000001</v>
          </cell>
          <cell r="J20">
            <v>82.717500000000001</v>
          </cell>
          <cell r="K20">
            <v>82.717500000000001</v>
          </cell>
          <cell r="L20">
            <v>0.6681545768272189</v>
          </cell>
          <cell r="M20">
            <v>0.660873802665219</v>
          </cell>
          <cell r="N20">
            <v>0.64516715815116354</v>
          </cell>
          <cell r="O20">
            <v>1.7659164399682403E-2</v>
          </cell>
          <cell r="P20">
            <v>4.4002870428465561</v>
          </cell>
          <cell r="Q20">
            <v>16.95554291972033</v>
          </cell>
          <cell r="R20" t="str">
            <v>nm</v>
          </cell>
          <cell r="S20">
            <v>-1</v>
          </cell>
          <cell r="T20">
            <v>9.7074093544124302</v>
          </cell>
          <cell r="U20">
            <v>36.424040897575097</v>
          </cell>
          <cell r="V20" t="str">
            <v>nm</v>
          </cell>
          <cell r="W20">
            <v>-1</v>
          </cell>
          <cell r="X20">
            <v>9.7074093544124302</v>
          </cell>
          <cell r="Y20">
            <v>36.424040897575097</v>
          </cell>
          <cell r="Z20" t="str">
            <v>nm</v>
          </cell>
          <cell r="AA20">
            <v>-1</v>
          </cell>
          <cell r="AB20">
            <v>14.730897244596397</v>
          </cell>
          <cell r="AC20">
            <v>11.078440718683565</v>
          </cell>
          <cell r="AD20">
            <v>9.6370884241043697</v>
          </cell>
          <cell r="AE20">
            <v>0.23635069736686254</v>
          </cell>
        </row>
        <row r="21">
          <cell r="B21" t="str">
            <v>St Ives</v>
          </cell>
          <cell r="D21" t="str">
            <v/>
          </cell>
          <cell r="E21" t="str">
            <v>p</v>
          </cell>
          <cell r="F21">
            <v>383.5</v>
          </cell>
          <cell r="G21" t="str">
            <v>£m</v>
          </cell>
          <cell r="H21">
            <v>393.52469000000002</v>
          </cell>
          <cell r="I21">
            <v>393.52469000000002</v>
          </cell>
          <cell r="J21">
            <v>372.12469000000004</v>
          </cell>
          <cell r="K21">
            <v>372.12469000000004</v>
          </cell>
          <cell r="L21">
            <v>0.81538644573436203</v>
          </cell>
          <cell r="M21">
            <v>0.83392383769904821</v>
          </cell>
          <cell r="N21">
            <v>0.8069375985461219</v>
          </cell>
          <cell r="O21">
            <v>5.2214984279774779E-3</v>
          </cell>
          <cell r="P21">
            <v>5.3596308345966364</v>
          </cell>
          <cell r="Q21">
            <v>5.2252237749190211</v>
          </cell>
          <cell r="R21">
            <v>5.0119190365491413</v>
          </cell>
          <cell r="S21">
            <v>3.410685050510387E-2</v>
          </cell>
          <cell r="T21">
            <v>10.587242434583443</v>
          </cell>
          <cell r="U21">
            <v>10.293476605306436</v>
          </cell>
          <cell r="V21">
            <v>9.584954296541456</v>
          </cell>
          <cell r="W21">
            <v>5.0984729249945016E-2</v>
          </cell>
          <cell r="X21">
            <v>10.587242434583443</v>
          </cell>
          <cell r="Y21">
            <v>10.293476605306436</v>
          </cell>
          <cell r="Z21">
            <v>9.584954296541456</v>
          </cell>
          <cell r="AA21">
            <v>5.0984729249945016E-2</v>
          </cell>
          <cell r="AB21">
            <v>16.110882479853711</v>
          </cell>
          <cell r="AC21">
            <v>16.207477479563718</v>
          </cell>
          <cell r="AD21">
            <v>14.984638276917806</v>
          </cell>
          <cell r="AE21">
            <v>3.6899184710591948E-2</v>
          </cell>
        </row>
        <row r="22">
          <cell r="B22" t="str">
            <v>Access Plus</v>
          </cell>
          <cell r="D22" t="str">
            <v/>
          </cell>
          <cell r="E22" t="str">
            <v>p</v>
          </cell>
          <cell r="F22">
            <v>145</v>
          </cell>
          <cell r="G22" t="str">
            <v>£m</v>
          </cell>
          <cell r="H22">
            <v>26.168150000000001</v>
          </cell>
          <cell r="I22">
            <v>26.168150000000001</v>
          </cell>
          <cell r="J22">
            <v>25.18515</v>
          </cell>
          <cell r="K22">
            <v>25.18515</v>
          </cell>
          <cell r="L22">
            <v>0.82701704265589604</v>
          </cell>
          <cell r="M22">
            <v>0.76318636363636361</v>
          </cell>
          <cell r="N22">
            <v>0.71957571428571432</v>
          </cell>
          <cell r="O22">
            <v>7.2059725314582934E-2</v>
          </cell>
          <cell r="P22">
            <v>6.8793089319857961</v>
          </cell>
          <cell r="Q22">
            <v>5.2143167701863353</v>
          </cell>
          <cell r="R22">
            <v>4.815516252390057</v>
          </cell>
          <cell r="S22">
            <v>0.19522860933439357</v>
          </cell>
          <cell r="T22">
            <v>7.3383304195804193</v>
          </cell>
          <cell r="U22">
            <v>5.5362640639664091</v>
          </cell>
          <cell r="V22">
            <v>5.1063736535537396</v>
          </cell>
          <cell r="W22">
            <v>0.19878785927942833</v>
          </cell>
          <cell r="X22">
            <v>7.3383304195804193</v>
          </cell>
          <cell r="Y22">
            <v>5.5362640639664091</v>
          </cell>
          <cell r="Z22">
            <v>5.1063736535537396</v>
          </cell>
          <cell r="AA22">
            <v>0.19878785927942833</v>
          </cell>
          <cell r="AB22">
            <v>9.9931082012405241</v>
          </cell>
          <cell r="AC22">
            <v>8.32854681217691</v>
          </cell>
          <cell r="AD22">
            <v>7.663847780126849</v>
          </cell>
          <cell r="AE22">
            <v>0.14189681026478995</v>
          </cell>
        </row>
        <row r="23">
          <cell r="B23" t="str">
            <v>Quebecor World</v>
          </cell>
          <cell r="D23" t="str">
            <v/>
          </cell>
          <cell r="E23" t="str">
            <v>$</v>
          </cell>
          <cell r="F23">
            <v>19.216797442603891</v>
          </cell>
          <cell r="G23" t="str">
            <v>$m</v>
          </cell>
          <cell r="H23">
            <v>2522.7619514675962</v>
          </cell>
          <cell r="I23">
            <v>1616.7405482360907</v>
          </cell>
          <cell r="J23">
            <v>4282.7619514675962</v>
          </cell>
          <cell r="K23">
            <v>2744.6564672312202</v>
          </cell>
          <cell r="L23">
            <v>0.68612014602172322</v>
          </cell>
          <cell r="M23">
            <v>0.66773132594327889</v>
          </cell>
          <cell r="N23">
            <v>0.64326984160947998</v>
          </cell>
          <cell r="O23">
            <v>3.2769705684269734E-2</v>
          </cell>
          <cell r="P23">
            <v>4.7670992336015097</v>
          </cell>
          <cell r="Q23">
            <v>5.1599541583946946</v>
          </cell>
          <cell r="R23">
            <v>4.8945850873915386</v>
          </cell>
          <cell r="S23">
            <v>-1.3109076210246484E-2</v>
          </cell>
          <cell r="T23">
            <v>7.6097404965664461</v>
          </cell>
          <cell r="U23">
            <v>8.8286166799991665</v>
          </cell>
          <cell r="V23">
            <v>8.3047546082365642</v>
          </cell>
          <cell r="W23">
            <v>-4.2758494088530052E-2</v>
          </cell>
          <cell r="X23">
            <v>7.6097404965664461</v>
          </cell>
          <cell r="Y23">
            <v>8.8286166799991665</v>
          </cell>
          <cell r="Z23">
            <v>8.3047546082365642</v>
          </cell>
          <cell r="AA23">
            <v>-4.2758494088530052E-2</v>
          </cell>
          <cell r="AB23">
            <v>10.008748668022861</v>
          </cell>
          <cell r="AC23">
            <v>12.318459899105058</v>
          </cell>
          <cell r="AD23">
            <v>10.795953619440388</v>
          </cell>
          <cell r="AE23">
            <v>-3.7148332642388038E-2</v>
          </cell>
        </row>
        <row r="24">
          <cell r="B24" t="str">
            <v>Capita</v>
          </cell>
          <cell r="D24" t="str">
            <v/>
          </cell>
          <cell r="E24" t="str">
            <v>p</v>
          </cell>
          <cell r="F24">
            <v>214</v>
          </cell>
          <cell r="G24" t="str">
            <v>£m</v>
          </cell>
          <cell r="H24">
            <v>1442.42848</v>
          </cell>
          <cell r="I24">
            <v>1442.42848</v>
          </cell>
          <cell r="J24">
            <v>1576.42848</v>
          </cell>
          <cell r="K24">
            <v>1576.42848</v>
          </cell>
          <cell r="L24">
            <v>1.755488285077951</v>
          </cell>
          <cell r="M24">
            <v>1.4664450976744186</v>
          </cell>
          <cell r="N24">
            <v>1.275427572815534</v>
          </cell>
          <cell r="O24">
            <v>0.17319733301036266</v>
          </cell>
          <cell r="P24">
            <v>11.341212086330936</v>
          </cell>
          <cell r="Q24">
            <v>9.327979171597633</v>
          </cell>
          <cell r="R24">
            <v>8.6143632786885256</v>
          </cell>
          <cell r="S24">
            <v>0.1474087164519573</v>
          </cell>
          <cell r="T24">
            <v>14.59656</v>
          </cell>
          <cell r="U24">
            <v>12.033805190839695</v>
          </cell>
          <cell r="V24">
            <v>10.37124</v>
          </cell>
          <cell r="W24">
            <v>0.1863420280034791</v>
          </cell>
          <cell r="X24">
            <v>14.59656</v>
          </cell>
          <cell r="Y24">
            <v>12.033805190839695</v>
          </cell>
          <cell r="Z24">
            <v>10.37124</v>
          </cell>
          <cell r="AA24">
            <v>0.1863420280034791</v>
          </cell>
          <cell r="AB24">
            <v>20.596727622714148</v>
          </cell>
          <cell r="AC24">
            <v>16.890292028413576</v>
          </cell>
          <cell r="AD24">
            <v>14.276184122748498</v>
          </cell>
          <cell r="AE24">
            <v>0.20113837566601522</v>
          </cell>
        </row>
        <row r="25">
          <cell r="B25" t="str">
            <v>EDS</v>
          </cell>
          <cell r="D25" t="str">
            <v/>
          </cell>
          <cell r="E25" t="str">
            <v>$</v>
          </cell>
          <cell r="F25">
            <v>22.27</v>
          </cell>
          <cell r="G25" t="str">
            <v>$m</v>
          </cell>
          <cell r="H25">
            <v>10867.76</v>
          </cell>
          <cell r="I25">
            <v>6964.726993078697</v>
          </cell>
          <cell r="J25">
            <v>8977.76</v>
          </cell>
          <cell r="K25">
            <v>5753.4991027941551</v>
          </cell>
          <cell r="L25">
            <v>0.4131694969855953</v>
          </cell>
          <cell r="M25">
            <v>0.43176838359063147</v>
          </cell>
          <cell r="N25">
            <v>0.45055505369868515</v>
          </cell>
          <cell r="O25">
            <v>-4.2386647506876707E-2</v>
          </cell>
          <cell r="P25">
            <v>2.6289194729136165</v>
          </cell>
          <cell r="Q25">
            <v>3.2994340316060273</v>
          </cell>
          <cell r="R25">
            <v>3.0979158040027608</v>
          </cell>
          <cell r="S25">
            <v>-7.8800196700613334E-2</v>
          </cell>
          <cell r="T25">
            <v>4.5526166328600404</v>
          </cell>
          <cell r="U25">
            <v>7.9378956675508405</v>
          </cell>
          <cell r="V25">
            <v>7.2518255250403882</v>
          </cell>
          <cell r="W25">
            <v>-0.20766860048768476</v>
          </cell>
          <cell r="X25">
            <v>4.5526166328600404</v>
          </cell>
          <cell r="Y25">
            <v>7.9378956675508405</v>
          </cell>
          <cell r="Z25">
            <v>7.2518255250403882</v>
          </cell>
          <cell r="AA25">
            <v>-0.20766860048768476</v>
          </cell>
          <cell r="AB25">
            <v>8.9079999999999995</v>
          </cell>
          <cell r="AC25">
            <v>18.558333333333334</v>
          </cell>
          <cell r="AD25">
            <v>16.871212121212121</v>
          </cell>
          <cell r="AE25">
            <v>-0.27336391501660195</v>
          </cell>
        </row>
        <row r="26">
          <cell r="B26" t="str">
            <v>Xerox</v>
          </cell>
          <cell r="D26" t="str">
            <v/>
          </cell>
          <cell r="E26" t="str">
            <v>$</v>
          </cell>
          <cell r="F26">
            <v>10.77</v>
          </cell>
          <cell r="G26" t="str">
            <v>$m</v>
          </cell>
          <cell r="H26">
            <v>8434.9024499999996</v>
          </cell>
          <cell r="I26">
            <v>5405.6026980261468</v>
          </cell>
          <cell r="J26">
            <v>22605.902450000001</v>
          </cell>
          <cell r="K26">
            <v>14487.248429889771</v>
          </cell>
          <cell r="L26">
            <v>1.4263298914758029</v>
          </cell>
          <cell r="M26">
            <v>1.4403801642624121</v>
          </cell>
          <cell r="N26">
            <v>1.4043201044889237</v>
          </cell>
          <cell r="O26">
            <v>7.805989820236503E-3</v>
          </cell>
          <cell r="P26">
            <v>9.1300090670436198</v>
          </cell>
          <cell r="Q26">
            <v>10.139449405696345</v>
          </cell>
          <cell r="R26">
            <v>9.6606420726495728</v>
          </cell>
          <cell r="S26">
            <v>-2.7851504192986765E-2</v>
          </cell>
          <cell r="T26">
            <v>15.68764916724497</v>
          </cell>
          <cell r="U26">
            <v>15.813852710738022</v>
          </cell>
          <cell r="V26">
            <v>14.679157435064935</v>
          </cell>
          <cell r="W26">
            <v>3.3780581204897686E-2</v>
          </cell>
          <cell r="X26">
            <v>15.68764916724497</v>
          </cell>
          <cell r="Y26">
            <v>15.813852710738022</v>
          </cell>
          <cell r="Z26">
            <v>14.679157435064935</v>
          </cell>
          <cell r="AA26">
            <v>3.3780581204897686E-2</v>
          </cell>
          <cell r="AB26">
            <v>16.07462686567164</v>
          </cell>
          <cell r="AC26">
            <v>17.095238095238095</v>
          </cell>
          <cell r="AD26">
            <v>14.958333333333334</v>
          </cell>
          <cell r="AE26">
            <v>3.6642110697632235E-2</v>
          </cell>
        </row>
        <row r="27">
          <cell r="B27" t="str">
            <v>IKON</v>
          </cell>
          <cell r="D27" t="str">
            <v/>
          </cell>
          <cell r="E27" t="str">
            <v>$</v>
          </cell>
          <cell r="F27">
            <v>7.39</v>
          </cell>
          <cell r="G27" t="str">
            <v>$m</v>
          </cell>
          <cell r="H27">
            <v>1070.0867799999999</v>
          </cell>
          <cell r="I27">
            <v>685.77722378877195</v>
          </cell>
          <cell r="J27">
            <v>2888.4487799999997</v>
          </cell>
          <cell r="K27">
            <v>1851.0950910023068</v>
          </cell>
          <cell r="L27">
            <v>0.60673668466455377</v>
          </cell>
          <cell r="M27">
            <v>0.63355683217679248</v>
          </cell>
          <cell r="N27">
            <v>0.63526956191497885</v>
          </cell>
          <cell r="O27">
            <v>-2.2715291433452856E-2</v>
          </cell>
          <cell r="P27">
            <v>6.9287759766110142</v>
          </cell>
          <cell r="Q27">
            <v>7.2114740686325076</v>
          </cell>
          <cell r="R27">
            <v>6.7532803428607169</v>
          </cell>
          <cell r="S27">
            <v>1.2910027695054671E-2</v>
          </cell>
          <cell r="T27">
            <v>9.5602675009922926</v>
          </cell>
          <cell r="U27">
            <v>9.8897440727929364</v>
          </cell>
          <cell r="V27">
            <v>9.0395988112858205</v>
          </cell>
          <cell r="W27">
            <v>2.8396154300884824E-2</v>
          </cell>
          <cell r="X27">
            <v>9.5602675009922926</v>
          </cell>
          <cell r="Y27">
            <v>9.8897440727929364</v>
          </cell>
          <cell r="Z27">
            <v>9.0395988112858205</v>
          </cell>
          <cell r="AA27">
            <v>2.8396154300884824E-2</v>
          </cell>
          <cell r="AB27">
            <v>7.8835306152272402</v>
          </cell>
          <cell r="AC27">
            <v>7.9441302939270786</v>
          </cell>
          <cell r="AD27">
            <v>7.0095267299356587</v>
          </cell>
          <cell r="AE27">
            <v>6.0513084472867629E-2</v>
          </cell>
        </row>
        <row r="28">
          <cell r="B28" t="str">
            <v>Wipro</v>
          </cell>
          <cell r="D28" t="str">
            <v/>
          </cell>
          <cell r="E28" t="str">
            <v>$</v>
          </cell>
          <cell r="F28">
            <v>19.364039999999999</v>
          </cell>
          <cell r="G28" t="str">
            <v>$m</v>
          </cell>
          <cell r="H28">
            <v>4503.4173266400003</v>
          </cell>
          <cell r="I28">
            <v>2886.0659617021274</v>
          </cell>
          <cell r="J28">
            <v>4217.4173266400003</v>
          </cell>
          <cell r="K28">
            <v>2702.779624865419</v>
          </cell>
          <cell r="L28">
            <v>4.9932119894372189</v>
          </cell>
          <cell r="M28">
            <v>4.0147547088051114</v>
          </cell>
          <cell r="N28">
            <v>3.5073735255202556</v>
          </cell>
          <cell r="O28">
            <v>0.19316084374499964</v>
          </cell>
          <cell r="P28">
            <v>18.819699544270435</v>
          </cell>
          <cell r="Q28">
            <v>16.333881519544345</v>
          </cell>
          <cell r="R28">
            <v>14.501658890730933</v>
          </cell>
          <cell r="S28">
            <v>0.13919350477555881</v>
          </cell>
          <cell r="T28">
            <v>21.956316134982174</v>
          </cell>
          <cell r="U28">
            <v>19.382489602412491</v>
          </cell>
          <cell r="V28">
            <v>17.296226136070594</v>
          </cell>
          <cell r="W28">
            <v>0.12668901556992185</v>
          </cell>
          <cell r="X28">
            <v>21.956316134982174</v>
          </cell>
          <cell r="Y28">
            <v>19.382489602412491</v>
          </cell>
          <cell r="Z28">
            <v>17.296226136070594</v>
          </cell>
          <cell r="AA28">
            <v>0.12668901556992185</v>
          </cell>
          <cell r="AB28">
            <v>25.645408563134978</v>
          </cell>
          <cell r="AC28">
            <v>23.606795591182365</v>
          </cell>
          <cell r="AD28">
            <v>21.43729026387625</v>
          </cell>
          <cell r="AE28">
            <v>9.3754535549376961E-2</v>
          </cell>
        </row>
        <row r="29">
          <cell r="B29">
            <v>0</v>
          </cell>
          <cell r="D29" t="str">
            <v/>
          </cell>
          <cell r="E29" t="e">
            <v>#N/A</v>
          </cell>
          <cell r="F29">
            <v>0</v>
          </cell>
          <cell r="G29" t="str">
            <v>m</v>
          </cell>
          <cell r="H29" t="e">
            <v>#N/A</v>
          </cell>
          <cell r="I29" t="e">
            <v>#N/A</v>
          </cell>
          <cell r="J29" t="e">
            <v>#N/A</v>
          </cell>
          <cell r="K29" t="e">
            <v>#N/A</v>
          </cell>
          <cell r="L29" t="e">
            <v>#NUM!</v>
          </cell>
          <cell r="M29" t="e">
            <v>#NUM!</v>
          </cell>
          <cell r="N29" t="e">
            <v>#NUM!</v>
          </cell>
          <cell r="O29" t="e">
            <v>#NUM!</v>
          </cell>
          <cell r="P29" t="e">
            <v>#NUM!</v>
          </cell>
          <cell r="Q29" t="e">
            <v>#NUM!</v>
          </cell>
          <cell r="R29" t="e">
            <v>#NUM!</v>
          </cell>
          <cell r="S29" t="e">
            <v>#NUM!</v>
          </cell>
          <cell r="T29" t="e">
            <v>#NUM!</v>
          </cell>
          <cell r="U29" t="e">
            <v>#NUM!</v>
          </cell>
          <cell r="V29" t="e">
            <v>#NUM!</v>
          </cell>
          <cell r="W29" t="e">
            <v>#NUM!</v>
          </cell>
          <cell r="X29" t="e">
            <v>#NUM!</v>
          </cell>
          <cell r="Y29" t="e">
            <v>#NUM!</v>
          </cell>
          <cell r="Z29" t="e">
            <v>#NUM!</v>
          </cell>
          <cell r="AA29" t="e">
            <v>#NUM!</v>
          </cell>
          <cell r="AB29" t="e">
            <v>#NUM!</v>
          </cell>
          <cell r="AC29" t="e">
            <v>#NUM!</v>
          </cell>
          <cell r="AD29" t="e">
            <v>#NUM!</v>
          </cell>
          <cell r="AE29" t="e">
            <v>#NUM!</v>
          </cell>
        </row>
        <row r="30">
          <cell r="B30">
            <v>0</v>
          </cell>
          <cell r="D30" t="str">
            <v/>
          </cell>
          <cell r="E30" t="e">
            <v>#N/A</v>
          </cell>
          <cell r="F30">
            <v>0</v>
          </cell>
          <cell r="G30" t="str">
            <v>m</v>
          </cell>
          <cell r="H30" t="e">
            <v>#N/A</v>
          </cell>
          <cell r="I30" t="e">
            <v>#N/A</v>
          </cell>
          <cell r="J30" t="e">
            <v>#N/A</v>
          </cell>
          <cell r="K30" t="e">
            <v>#N/A</v>
          </cell>
          <cell r="L30" t="e">
            <v>#NUM!</v>
          </cell>
          <cell r="M30" t="e">
            <v>#NUM!</v>
          </cell>
          <cell r="N30" t="e">
            <v>#NUM!</v>
          </cell>
          <cell r="O30" t="e">
            <v>#NUM!</v>
          </cell>
          <cell r="P30" t="e">
            <v>#NUM!</v>
          </cell>
          <cell r="Q30" t="e">
            <v>#NUM!</v>
          </cell>
          <cell r="R30" t="e">
            <v>#NUM!</v>
          </cell>
          <cell r="S30" t="e">
            <v>#NUM!</v>
          </cell>
          <cell r="T30" t="e">
            <v>#NUM!</v>
          </cell>
          <cell r="U30" t="e">
            <v>#NUM!</v>
          </cell>
          <cell r="V30" t="e">
            <v>#NUM!</v>
          </cell>
          <cell r="W30" t="e">
            <v>#NUM!</v>
          </cell>
          <cell r="X30" t="e">
            <v>#NUM!</v>
          </cell>
          <cell r="Y30" t="e">
            <v>#NUM!</v>
          </cell>
          <cell r="Z30" t="e">
            <v>#NUM!</v>
          </cell>
          <cell r="AA30" t="e">
            <v>#NUM!</v>
          </cell>
          <cell r="AB30" t="e">
            <v>#NUM!</v>
          </cell>
          <cell r="AC30" t="e">
            <v>#NUM!</v>
          </cell>
          <cell r="AD30" t="e">
            <v>#NUM!</v>
          </cell>
          <cell r="AE30" t="e">
            <v>#NUM!</v>
          </cell>
        </row>
        <row r="31">
          <cell r="B31">
            <v>0</v>
          </cell>
          <cell r="D31" t="str">
            <v/>
          </cell>
          <cell r="E31" t="e">
            <v>#N/A</v>
          </cell>
          <cell r="F31">
            <v>0</v>
          </cell>
          <cell r="G31" t="str">
            <v>m</v>
          </cell>
          <cell r="H31" t="e">
            <v>#N/A</v>
          </cell>
          <cell r="I31" t="e">
            <v>#N/A</v>
          </cell>
          <cell r="J31" t="e">
            <v>#N/A</v>
          </cell>
          <cell r="K31" t="e">
            <v>#N/A</v>
          </cell>
          <cell r="L31" t="e">
            <v>#NUM!</v>
          </cell>
          <cell r="M31" t="e">
            <v>#NUM!</v>
          </cell>
          <cell r="N31" t="e">
            <v>#NUM!</v>
          </cell>
          <cell r="O31" t="e">
            <v>#NUM!</v>
          </cell>
          <cell r="P31" t="e">
            <v>#NUM!</v>
          </cell>
          <cell r="Q31" t="e">
            <v>#NUM!</v>
          </cell>
          <cell r="R31" t="e">
            <v>#NUM!</v>
          </cell>
          <cell r="S31" t="e">
            <v>#NUM!</v>
          </cell>
          <cell r="T31" t="e">
            <v>#NUM!</v>
          </cell>
          <cell r="U31" t="e">
            <v>#NUM!</v>
          </cell>
          <cell r="V31" t="e">
            <v>#NUM!</v>
          </cell>
          <cell r="W31" t="e">
            <v>#NUM!</v>
          </cell>
          <cell r="X31" t="e">
            <v>#NUM!</v>
          </cell>
          <cell r="Y31" t="e">
            <v>#NUM!</v>
          </cell>
          <cell r="Z31" t="e">
            <v>#NUM!</v>
          </cell>
          <cell r="AA31" t="e">
            <v>#NUM!</v>
          </cell>
          <cell r="AB31" t="e">
            <v>#NUM!</v>
          </cell>
          <cell r="AC31" t="e">
            <v>#NUM!</v>
          </cell>
          <cell r="AD31" t="e">
            <v>#NUM!</v>
          </cell>
          <cell r="AE31" t="e">
            <v>#NUM!</v>
          </cell>
        </row>
        <row r="32">
          <cell r="B32">
            <v>0</v>
          </cell>
          <cell r="D32" t="str">
            <v/>
          </cell>
          <cell r="E32" t="e">
            <v>#N/A</v>
          </cell>
          <cell r="F32">
            <v>0</v>
          </cell>
          <cell r="G32" t="str">
            <v>m</v>
          </cell>
          <cell r="H32" t="e">
            <v>#N/A</v>
          </cell>
          <cell r="I32" t="e">
            <v>#N/A</v>
          </cell>
          <cell r="J32" t="e">
            <v>#N/A</v>
          </cell>
          <cell r="K32" t="e">
            <v>#N/A</v>
          </cell>
          <cell r="L32" t="e">
            <v>#NUM!</v>
          </cell>
          <cell r="M32" t="e">
            <v>#NUM!</v>
          </cell>
          <cell r="N32" t="e">
            <v>#NUM!</v>
          </cell>
          <cell r="O32" t="e">
            <v>#NUM!</v>
          </cell>
          <cell r="P32" t="e">
            <v>#NUM!</v>
          </cell>
          <cell r="Q32" t="e">
            <v>#NUM!</v>
          </cell>
          <cell r="R32" t="e">
            <v>#NUM!</v>
          </cell>
          <cell r="S32" t="e">
            <v>#NUM!</v>
          </cell>
          <cell r="T32" t="e">
            <v>#NUM!</v>
          </cell>
          <cell r="U32" t="e">
            <v>#NUM!</v>
          </cell>
          <cell r="V32" t="e">
            <v>#NUM!</v>
          </cell>
          <cell r="W32" t="e">
            <v>#NUM!</v>
          </cell>
          <cell r="X32" t="e">
            <v>#NUM!</v>
          </cell>
          <cell r="Y32" t="e">
            <v>#NUM!</v>
          </cell>
          <cell r="Z32" t="e">
            <v>#NUM!</v>
          </cell>
          <cell r="AA32" t="e">
            <v>#NUM!</v>
          </cell>
          <cell r="AB32" t="e">
            <v>#NUM!</v>
          </cell>
          <cell r="AC32" t="e">
            <v>#NUM!</v>
          </cell>
          <cell r="AD32" t="e">
            <v>#NUM!</v>
          </cell>
          <cell r="AE32" t="e">
            <v>#NUM!</v>
          </cell>
        </row>
        <row r="33">
          <cell r="B33">
            <v>0</v>
          </cell>
          <cell r="D33" t="str">
            <v/>
          </cell>
          <cell r="E33" t="e">
            <v>#N/A</v>
          </cell>
          <cell r="F33">
            <v>0</v>
          </cell>
          <cell r="G33" t="str">
            <v>m</v>
          </cell>
          <cell r="H33" t="e">
            <v>#N/A</v>
          </cell>
          <cell r="I33" t="e">
            <v>#N/A</v>
          </cell>
          <cell r="J33" t="e">
            <v>#N/A</v>
          </cell>
          <cell r="K33" t="e">
            <v>#N/A</v>
          </cell>
          <cell r="L33" t="e">
            <v>#NUM!</v>
          </cell>
          <cell r="M33" t="e">
            <v>#NUM!</v>
          </cell>
          <cell r="N33" t="e">
            <v>#NUM!</v>
          </cell>
          <cell r="O33" t="e">
            <v>#NUM!</v>
          </cell>
          <cell r="P33" t="e">
            <v>#NUM!</v>
          </cell>
          <cell r="Q33" t="e">
            <v>#NUM!</v>
          </cell>
          <cell r="R33" t="e">
            <v>#NUM!</v>
          </cell>
          <cell r="S33" t="e">
            <v>#NUM!</v>
          </cell>
          <cell r="T33" t="e">
            <v>#NUM!</v>
          </cell>
          <cell r="U33" t="e">
            <v>#NUM!</v>
          </cell>
          <cell r="V33" t="e">
            <v>#NUM!</v>
          </cell>
          <cell r="W33" t="e">
            <v>#NUM!</v>
          </cell>
          <cell r="X33" t="e">
            <v>#NUM!</v>
          </cell>
          <cell r="Y33" t="e">
            <v>#NUM!</v>
          </cell>
          <cell r="Z33" t="e">
            <v>#NUM!</v>
          </cell>
          <cell r="AA33" t="e">
            <v>#NUM!</v>
          </cell>
          <cell r="AB33" t="e">
            <v>#NUM!</v>
          </cell>
          <cell r="AC33" t="e">
            <v>#NUM!</v>
          </cell>
          <cell r="AD33" t="e">
            <v>#NUM!</v>
          </cell>
          <cell r="AE33" t="e">
            <v>#NUM!</v>
          </cell>
        </row>
        <row r="34">
          <cell r="B34">
            <v>0</v>
          </cell>
          <cell r="D34" t="str">
            <v/>
          </cell>
          <cell r="E34" t="e">
            <v>#N/A</v>
          </cell>
          <cell r="F34">
            <v>0</v>
          </cell>
          <cell r="G34" t="str">
            <v>m</v>
          </cell>
          <cell r="H34" t="e">
            <v>#N/A</v>
          </cell>
          <cell r="I34" t="e">
            <v>#N/A</v>
          </cell>
          <cell r="J34" t="e">
            <v>#N/A</v>
          </cell>
          <cell r="K34" t="e">
            <v>#N/A</v>
          </cell>
          <cell r="L34" t="e">
            <v>#NUM!</v>
          </cell>
          <cell r="M34" t="e">
            <v>#NUM!</v>
          </cell>
          <cell r="N34" t="e">
            <v>#NUM!</v>
          </cell>
          <cell r="O34" t="e">
            <v>#NUM!</v>
          </cell>
          <cell r="P34" t="e">
            <v>#NUM!</v>
          </cell>
          <cell r="Q34" t="e">
            <v>#NUM!</v>
          </cell>
          <cell r="R34" t="e">
            <v>#NUM!</v>
          </cell>
          <cell r="S34" t="e">
            <v>#NUM!</v>
          </cell>
          <cell r="T34" t="e">
            <v>#NUM!</v>
          </cell>
          <cell r="U34" t="e">
            <v>#NUM!</v>
          </cell>
          <cell r="V34" t="e">
            <v>#NUM!</v>
          </cell>
          <cell r="W34" t="e">
            <v>#NUM!</v>
          </cell>
          <cell r="X34" t="e">
            <v>#NUM!</v>
          </cell>
          <cell r="Y34" t="e">
            <v>#NUM!</v>
          </cell>
          <cell r="Z34" t="e">
            <v>#NUM!</v>
          </cell>
          <cell r="AA34" t="e">
            <v>#NUM!</v>
          </cell>
          <cell r="AB34" t="e">
            <v>#NUM!</v>
          </cell>
          <cell r="AC34" t="e">
            <v>#NUM!</v>
          </cell>
          <cell r="AD34" t="e">
            <v>#NUM!</v>
          </cell>
          <cell r="AE34" t="e">
            <v>#NUM!</v>
          </cell>
        </row>
        <row r="35">
          <cell r="B35">
            <v>0</v>
          </cell>
          <cell r="D35" t="str">
            <v/>
          </cell>
          <cell r="E35" t="e">
            <v>#N/A</v>
          </cell>
          <cell r="F35">
            <v>0</v>
          </cell>
          <cell r="G35" t="str">
            <v>m</v>
          </cell>
          <cell r="H35" t="e">
            <v>#N/A</v>
          </cell>
          <cell r="I35" t="e">
            <v>#N/A</v>
          </cell>
          <cell r="J35" t="e">
            <v>#N/A</v>
          </cell>
          <cell r="K35" t="e">
            <v>#N/A</v>
          </cell>
          <cell r="L35" t="e">
            <v>#NUM!</v>
          </cell>
          <cell r="M35" t="e">
            <v>#NUM!</v>
          </cell>
          <cell r="N35" t="e">
            <v>#NUM!</v>
          </cell>
          <cell r="O35" t="e">
            <v>#NUM!</v>
          </cell>
          <cell r="P35" t="e">
            <v>#NUM!</v>
          </cell>
          <cell r="Q35" t="e">
            <v>#NUM!</v>
          </cell>
          <cell r="R35" t="e">
            <v>#NUM!</v>
          </cell>
          <cell r="S35" t="e">
            <v>#NUM!</v>
          </cell>
          <cell r="T35" t="e">
            <v>#NUM!</v>
          </cell>
          <cell r="U35" t="e">
            <v>#NUM!</v>
          </cell>
          <cell r="V35" t="e">
            <v>#NUM!</v>
          </cell>
          <cell r="W35" t="e">
            <v>#NUM!</v>
          </cell>
          <cell r="X35" t="e">
            <v>#NUM!</v>
          </cell>
          <cell r="Y35" t="e">
            <v>#NUM!</v>
          </cell>
          <cell r="Z35" t="e">
            <v>#NUM!</v>
          </cell>
          <cell r="AA35" t="e">
            <v>#NUM!</v>
          </cell>
          <cell r="AB35" t="e">
            <v>#NUM!</v>
          </cell>
          <cell r="AC35" t="e">
            <v>#NUM!</v>
          </cell>
          <cell r="AD35" t="e">
            <v>#NUM!</v>
          </cell>
          <cell r="AE35" t="e">
            <v>#NUM!</v>
          </cell>
        </row>
        <row r="36">
          <cell r="B36">
            <v>0</v>
          </cell>
          <cell r="D36" t="str">
            <v/>
          </cell>
          <cell r="E36" t="e">
            <v>#N/A</v>
          </cell>
          <cell r="F36">
            <v>0</v>
          </cell>
          <cell r="G36" t="str">
            <v>m</v>
          </cell>
          <cell r="H36" t="e">
            <v>#N/A</v>
          </cell>
          <cell r="I36" t="e">
            <v>#N/A</v>
          </cell>
          <cell r="J36" t="e">
            <v>#N/A</v>
          </cell>
          <cell r="K36" t="e">
            <v>#N/A</v>
          </cell>
          <cell r="L36" t="e">
            <v>#NUM!</v>
          </cell>
          <cell r="M36" t="e">
            <v>#NUM!</v>
          </cell>
          <cell r="N36" t="e">
            <v>#NUM!</v>
          </cell>
          <cell r="O36" t="e">
            <v>#NUM!</v>
          </cell>
          <cell r="P36" t="e">
            <v>#NUM!</v>
          </cell>
          <cell r="Q36" t="e">
            <v>#NUM!</v>
          </cell>
          <cell r="R36" t="e">
            <v>#NUM!</v>
          </cell>
          <cell r="S36" t="e">
            <v>#NUM!</v>
          </cell>
          <cell r="T36" t="e">
            <v>#NUM!</v>
          </cell>
          <cell r="U36" t="e">
            <v>#NUM!</v>
          </cell>
          <cell r="V36" t="e">
            <v>#NUM!</v>
          </cell>
          <cell r="W36" t="e">
            <v>#NUM!</v>
          </cell>
          <cell r="X36" t="e">
            <v>#NUM!</v>
          </cell>
          <cell r="Y36" t="e">
            <v>#NUM!</v>
          </cell>
          <cell r="Z36" t="e">
            <v>#NUM!</v>
          </cell>
          <cell r="AA36" t="e">
            <v>#NUM!</v>
          </cell>
          <cell r="AB36" t="e">
            <v>#NUM!</v>
          </cell>
          <cell r="AC36" t="e">
            <v>#NUM!</v>
          </cell>
          <cell r="AD36" t="e">
            <v>#NUM!</v>
          </cell>
          <cell r="AE36" t="e">
            <v>#NUM!</v>
          </cell>
        </row>
        <row r="37">
          <cell r="B37">
            <v>0</v>
          </cell>
          <cell r="D37" t="str">
            <v/>
          </cell>
          <cell r="E37" t="e">
            <v>#N/A</v>
          </cell>
          <cell r="F37">
            <v>0</v>
          </cell>
          <cell r="G37" t="str">
            <v>m</v>
          </cell>
          <cell r="H37" t="e">
            <v>#N/A</v>
          </cell>
          <cell r="I37" t="e">
            <v>#N/A</v>
          </cell>
          <cell r="J37" t="e">
            <v>#N/A</v>
          </cell>
          <cell r="K37" t="e">
            <v>#N/A</v>
          </cell>
          <cell r="L37" t="e">
            <v>#NUM!</v>
          </cell>
          <cell r="M37" t="e">
            <v>#NUM!</v>
          </cell>
          <cell r="N37" t="e">
            <v>#NUM!</v>
          </cell>
          <cell r="O37" t="e">
            <v>#NUM!</v>
          </cell>
          <cell r="P37" t="e">
            <v>#NUM!</v>
          </cell>
          <cell r="Q37" t="e">
            <v>#NUM!</v>
          </cell>
          <cell r="R37" t="e">
            <v>#NUM!</v>
          </cell>
          <cell r="S37" t="e">
            <v>#NUM!</v>
          </cell>
          <cell r="T37" t="e">
            <v>#NUM!</v>
          </cell>
          <cell r="U37" t="e">
            <v>#NUM!</v>
          </cell>
          <cell r="V37" t="e">
            <v>#NUM!</v>
          </cell>
          <cell r="W37" t="e">
            <v>#NUM!</v>
          </cell>
          <cell r="X37" t="e">
            <v>#NUM!</v>
          </cell>
          <cell r="Y37" t="e">
            <v>#NUM!</v>
          </cell>
          <cell r="Z37" t="e">
            <v>#NUM!</v>
          </cell>
          <cell r="AA37" t="e">
            <v>#NUM!</v>
          </cell>
          <cell r="AB37" t="e">
            <v>#NUM!</v>
          </cell>
          <cell r="AC37" t="e">
            <v>#NUM!</v>
          </cell>
          <cell r="AD37" t="e">
            <v>#NUM!</v>
          </cell>
          <cell r="AE37" t="e">
            <v>#NUM!</v>
          </cell>
        </row>
        <row r="38">
          <cell r="B38">
            <v>0</v>
          </cell>
          <cell r="D38" t="str">
            <v/>
          </cell>
          <cell r="E38" t="e">
            <v>#N/A</v>
          </cell>
          <cell r="F38">
            <v>0</v>
          </cell>
          <cell r="G38" t="str">
            <v>m</v>
          </cell>
          <cell r="H38" t="e">
            <v>#N/A</v>
          </cell>
          <cell r="I38" t="e">
            <v>#N/A</v>
          </cell>
          <cell r="J38" t="e">
            <v>#N/A</v>
          </cell>
          <cell r="K38" t="e">
            <v>#N/A</v>
          </cell>
          <cell r="L38" t="e">
            <v>#NUM!</v>
          </cell>
          <cell r="M38" t="e">
            <v>#NUM!</v>
          </cell>
          <cell r="N38" t="e">
            <v>#NUM!</v>
          </cell>
          <cell r="O38" t="e">
            <v>#NUM!</v>
          </cell>
          <cell r="P38" t="e">
            <v>#NUM!</v>
          </cell>
          <cell r="Q38" t="e">
            <v>#NUM!</v>
          </cell>
          <cell r="R38" t="e">
            <v>#NUM!</v>
          </cell>
          <cell r="S38" t="e">
            <v>#NUM!</v>
          </cell>
          <cell r="T38" t="e">
            <v>#NUM!</v>
          </cell>
          <cell r="U38" t="e">
            <v>#NUM!</v>
          </cell>
          <cell r="V38" t="e">
            <v>#NUM!</v>
          </cell>
          <cell r="W38" t="e">
            <v>#NUM!</v>
          </cell>
          <cell r="X38" t="e">
            <v>#NUM!</v>
          </cell>
          <cell r="Y38" t="e">
            <v>#NUM!</v>
          </cell>
          <cell r="Z38" t="e">
            <v>#NUM!</v>
          </cell>
          <cell r="AA38" t="e">
            <v>#NUM!</v>
          </cell>
          <cell r="AB38" t="e">
            <v>#NUM!</v>
          </cell>
          <cell r="AC38" t="e">
            <v>#NUM!</v>
          </cell>
          <cell r="AD38" t="e">
            <v>#NUM!</v>
          </cell>
          <cell r="AE38" t="e">
            <v>#NUM!</v>
          </cell>
        </row>
        <row r="39">
          <cell r="B39">
            <v>0</v>
          </cell>
          <cell r="D39" t="str">
            <v/>
          </cell>
          <cell r="E39" t="e">
            <v>#N/A</v>
          </cell>
          <cell r="F39">
            <v>0</v>
          </cell>
          <cell r="G39" t="str">
            <v>m</v>
          </cell>
          <cell r="H39" t="e">
            <v>#N/A</v>
          </cell>
          <cell r="I39" t="e">
            <v>#N/A</v>
          </cell>
          <cell r="J39" t="e">
            <v>#N/A</v>
          </cell>
          <cell r="K39" t="e">
            <v>#N/A</v>
          </cell>
          <cell r="L39" t="e">
            <v>#NUM!</v>
          </cell>
          <cell r="M39" t="e">
            <v>#NUM!</v>
          </cell>
          <cell r="N39" t="e">
            <v>#NUM!</v>
          </cell>
          <cell r="O39" t="e">
            <v>#NUM!</v>
          </cell>
          <cell r="P39" t="e">
            <v>#NUM!</v>
          </cell>
          <cell r="Q39" t="e">
            <v>#NUM!</v>
          </cell>
          <cell r="R39" t="e">
            <v>#NUM!</v>
          </cell>
          <cell r="S39" t="e">
            <v>#NUM!</v>
          </cell>
          <cell r="T39" t="e">
            <v>#NUM!</v>
          </cell>
          <cell r="U39" t="e">
            <v>#NUM!</v>
          </cell>
          <cell r="V39" t="e">
            <v>#NUM!</v>
          </cell>
          <cell r="W39" t="e">
            <v>#NUM!</v>
          </cell>
          <cell r="X39" t="e">
            <v>#NUM!</v>
          </cell>
          <cell r="Y39" t="e">
            <v>#NUM!</v>
          </cell>
          <cell r="Z39" t="e">
            <v>#NUM!</v>
          </cell>
          <cell r="AA39" t="e">
            <v>#NUM!</v>
          </cell>
          <cell r="AB39" t="e">
            <v>#NUM!</v>
          </cell>
          <cell r="AC39" t="e">
            <v>#NUM!</v>
          </cell>
          <cell r="AD39" t="e">
            <v>#NUM!</v>
          </cell>
          <cell r="AE39" t="e">
            <v>#NUM!</v>
          </cell>
        </row>
        <row r="40">
          <cell r="B40">
            <v>0</v>
          </cell>
          <cell r="D40" t="str">
            <v/>
          </cell>
          <cell r="E40" t="e">
            <v>#N/A</v>
          </cell>
          <cell r="F40">
            <v>0</v>
          </cell>
          <cell r="G40" t="str">
            <v>m</v>
          </cell>
          <cell r="H40" t="e">
            <v>#N/A</v>
          </cell>
          <cell r="I40" t="e">
            <v>#N/A</v>
          </cell>
          <cell r="J40" t="e">
            <v>#N/A</v>
          </cell>
          <cell r="K40" t="e">
            <v>#N/A</v>
          </cell>
          <cell r="L40" t="e">
            <v>#NUM!</v>
          </cell>
          <cell r="M40" t="e">
            <v>#NUM!</v>
          </cell>
          <cell r="N40" t="e">
            <v>#NUM!</v>
          </cell>
          <cell r="O40" t="e">
            <v>#NUM!</v>
          </cell>
          <cell r="P40" t="e">
            <v>#NUM!</v>
          </cell>
          <cell r="Q40" t="e">
            <v>#NUM!</v>
          </cell>
          <cell r="R40" t="e">
            <v>#NUM!</v>
          </cell>
          <cell r="S40" t="e">
            <v>#NUM!</v>
          </cell>
          <cell r="T40" t="e">
            <v>#NUM!</v>
          </cell>
          <cell r="U40" t="e">
            <v>#NUM!</v>
          </cell>
          <cell r="V40" t="e">
            <v>#NUM!</v>
          </cell>
          <cell r="W40" t="e">
            <v>#NUM!</v>
          </cell>
          <cell r="X40" t="e">
            <v>#NUM!</v>
          </cell>
          <cell r="Y40" t="e">
            <v>#NUM!</v>
          </cell>
          <cell r="Z40" t="e">
            <v>#NUM!</v>
          </cell>
          <cell r="AA40" t="e">
            <v>#NUM!</v>
          </cell>
          <cell r="AB40" t="e">
            <v>#NUM!</v>
          </cell>
          <cell r="AC40" t="e">
            <v>#NUM!</v>
          </cell>
          <cell r="AD40" t="e">
            <v>#NUM!</v>
          </cell>
          <cell r="AE40" t="e">
            <v>#NUM!</v>
          </cell>
        </row>
        <row r="41">
          <cell r="B41">
            <v>0</v>
          </cell>
          <cell r="D41" t="str">
            <v/>
          </cell>
          <cell r="E41" t="e">
            <v>#N/A</v>
          </cell>
          <cell r="F41">
            <v>0</v>
          </cell>
          <cell r="G41" t="str">
            <v>m</v>
          </cell>
          <cell r="H41" t="e">
            <v>#N/A</v>
          </cell>
          <cell r="I41" t="e">
            <v>#N/A</v>
          </cell>
          <cell r="J41" t="e">
            <v>#N/A</v>
          </cell>
          <cell r="K41" t="e">
            <v>#N/A</v>
          </cell>
          <cell r="L41" t="e">
            <v>#NUM!</v>
          </cell>
          <cell r="M41" t="e">
            <v>#NUM!</v>
          </cell>
          <cell r="N41" t="e">
            <v>#NUM!</v>
          </cell>
          <cell r="O41" t="e">
            <v>#NUM!</v>
          </cell>
          <cell r="P41" t="e">
            <v>#NUM!</v>
          </cell>
          <cell r="Q41" t="e">
            <v>#NUM!</v>
          </cell>
          <cell r="R41" t="e">
            <v>#NUM!</v>
          </cell>
          <cell r="S41" t="e">
            <v>#NUM!</v>
          </cell>
          <cell r="T41" t="e">
            <v>#NUM!</v>
          </cell>
          <cell r="U41" t="e">
            <v>#NUM!</v>
          </cell>
          <cell r="V41" t="e">
            <v>#NUM!</v>
          </cell>
          <cell r="W41" t="e">
            <v>#NUM!</v>
          </cell>
          <cell r="X41" t="e">
            <v>#NUM!</v>
          </cell>
          <cell r="Y41" t="e">
            <v>#NUM!</v>
          </cell>
          <cell r="Z41" t="e">
            <v>#NUM!</v>
          </cell>
          <cell r="AA41" t="e">
            <v>#NUM!</v>
          </cell>
          <cell r="AB41" t="e">
            <v>#NUM!</v>
          </cell>
          <cell r="AC41" t="e">
            <v>#NUM!</v>
          </cell>
          <cell r="AD41" t="e">
            <v>#NUM!</v>
          </cell>
          <cell r="AE41" t="e">
            <v>#NUM!</v>
          </cell>
        </row>
        <row r="42">
          <cell r="B42">
            <v>0</v>
          </cell>
          <cell r="D42" t="str">
            <v/>
          </cell>
          <cell r="E42" t="e">
            <v>#N/A</v>
          </cell>
          <cell r="F42">
            <v>0</v>
          </cell>
          <cell r="G42" t="str">
            <v>m</v>
          </cell>
          <cell r="H42" t="e">
            <v>#N/A</v>
          </cell>
          <cell r="I42" t="e">
            <v>#N/A</v>
          </cell>
          <cell r="J42" t="e">
            <v>#N/A</v>
          </cell>
          <cell r="K42" t="e">
            <v>#N/A</v>
          </cell>
          <cell r="L42" t="e">
            <v>#NUM!</v>
          </cell>
          <cell r="M42" t="e">
            <v>#NUM!</v>
          </cell>
          <cell r="N42" t="e">
            <v>#NUM!</v>
          </cell>
          <cell r="O42" t="e">
            <v>#NUM!</v>
          </cell>
          <cell r="P42" t="e">
            <v>#NUM!</v>
          </cell>
          <cell r="Q42" t="e">
            <v>#NUM!</v>
          </cell>
          <cell r="R42" t="e">
            <v>#NUM!</v>
          </cell>
          <cell r="S42" t="e">
            <v>#NUM!</v>
          </cell>
          <cell r="T42" t="e">
            <v>#NUM!</v>
          </cell>
          <cell r="U42" t="e">
            <v>#NUM!</v>
          </cell>
          <cell r="V42" t="e">
            <v>#NUM!</v>
          </cell>
          <cell r="W42" t="e">
            <v>#NUM!</v>
          </cell>
          <cell r="X42" t="e">
            <v>#NUM!</v>
          </cell>
          <cell r="Y42" t="e">
            <v>#NUM!</v>
          </cell>
          <cell r="Z42" t="e">
            <v>#NUM!</v>
          </cell>
          <cell r="AA42" t="e">
            <v>#NUM!</v>
          </cell>
          <cell r="AB42" t="e">
            <v>#NUM!</v>
          </cell>
          <cell r="AC42" t="e">
            <v>#NUM!</v>
          </cell>
          <cell r="AD42" t="e">
            <v>#NUM!</v>
          </cell>
          <cell r="AE42" t="e">
            <v>#NUM!</v>
          </cell>
        </row>
        <row r="43">
          <cell r="B43">
            <v>0</v>
          </cell>
          <cell r="D43" t="str">
            <v/>
          </cell>
          <cell r="E43" t="e">
            <v>#N/A</v>
          </cell>
          <cell r="F43">
            <v>0</v>
          </cell>
          <cell r="G43" t="str">
            <v>m</v>
          </cell>
          <cell r="H43" t="e">
            <v>#N/A</v>
          </cell>
          <cell r="I43" t="e">
            <v>#N/A</v>
          </cell>
          <cell r="J43" t="e">
            <v>#N/A</v>
          </cell>
          <cell r="K43" t="e">
            <v>#N/A</v>
          </cell>
          <cell r="L43" t="e">
            <v>#NUM!</v>
          </cell>
          <cell r="M43" t="e">
            <v>#NUM!</v>
          </cell>
          <cell r="N43" t="e">
            <v>#NUM!</v>
          </cell>
          <cell r="O43" t="e">
            <v>#NUM!</v>
          </cell>
          <cell r="P43" t="e">
            <v>#NUM!</v>
          </cell>
          <cell r="Q43" t="e">
            <v>#NUM!</v>
          </cell>
          <cell r="R43" t="e">
            <v>#NUM!</v>
          </cell>
          <cell r="S43" t="e">
            <v>#NUM!</v>
          </cell>
          <cell r="T43" t="e">
            <v>#NUM!</v>
          </cell>
          <cell r="U43" t="e">
            <v>#NUM!</v>
          </cell>
          <cell r="V43" t="e">
            <v>#NUM!</v>
          </cell>
          <cell r="W43" t="e">
            <v>#NUM!</v>
          </cell>
          <cell r="X43" t="e">
            <v>#NUM!</v>
          </cell>
          <cell r="Y43" t="e">
            <v>#NUM!</v>
          </cell>
          <cell r="Z43" t="e">
            <v>#NUM!</v>
          </cell>
          <cell r="AA43" t="e">
            <v>#NUM!</v>
          </cell>
          <cell r="AB43" t="e">
            <v>#NUM!</v>
          </cell>
          <cell r="AC43" t="e">
            <v>#NUM!</v>
          </cell>
          <cell r="AD43" t="e">
            <v>#NUM!</v>
          </cell>
          <cell r="AE43" t="e">
            <v>#NUM!</v>
          </cell>
        </row>
        <row r="44">
          <cell r="B44">
            <v>0</v>
          </cell>
          <cell r="D44" t="str">
            <v/>
          </cell>
          <cell r="E44" t="e">
            <v>#N/A</v>
          </cell>
          <cell r="F44">
            <v>0</v>
          </cell>
          <cell r="G44" t="str">
            <v>m</v>
          </cell>
          <cell r="H44" t="e">
            <v>#N/A</v>
          </cell>
          <cell r="I44" t="e">
            <v>#N/A</v>
          </cell>
          <cell r="J44" t="e">
            <v>#N/A</v>
          </cell>
          <cell r="K44" t="e">
            <v>#N/A</v>
          </cell>
          <cell r="L44" t="e">
            <v>#NUM!</v>
          </cell>
          <cell r="M44" t="e">
            <v>#NUM!</v>
          </cell>
          <cell r="N44" t="e">
            <v>#NUM!</v>
          </cell>
          <cell r="O44" t="e">
            <v>#NUM!</v>
          </cell>
          <cell r="P44" t="e">
            <v>#NUM!</v>
          </cell>
          <cell r="Q44" t="e">
            <v>#NUM!</v>
          </cell>
          <cell r="R44" t="e">
            <v>#NUM!</v>
          </cell>
          <cell r="S44" t="e">
            <v>#NUM!</v>
          </cell>
          <cell r="T44" t="e">
            <v>#NUM!</v>
          </cell>
          <cell r="U44" t="e">
            <v>#NUM!</v>
          </cell>
          <cell r="V44" t="e">
            <v>#NUM!</v>
          </cell>
          <cell r="W44" t="e">
            <v>#NUM!</v>
          </cell>
          <cell r="X44" t="e">
            <v>#NUM!</v>
          </cell>
          <cell r="Y44" t="e">
            <v>#NUM!</v>
          </cell>
          <cell r="Z44" t="e">
            <v>#NUM!</v>
          </cell>
          <cell r="AA44" t="e">
            <v>#NUM!</v>
          </cell>
          <cell r="AB44" t="e">
            <v>#NUM!</v>
          </cell>
          <cell r="AC44" t="e">
            <v>#NUM!</v>
          </cell>
          <cell r="AD44" t="e">
            <v>#NUM!</v>
          </cell>
          <cell r="AE44" t="e">
            <v>#NUM!</v>
          </cell>
        </row>
        <row r="45">
          <cell r="B45">
            <v>0</v>
          </cell>
          <cell r="D45" t="str">
            <v/>
          </cell>
          <cell r="E45" t="e">
            <v>#N/A</v>
          </cell>
          <cell r="F45">
            <v>0</v>
          </cell>
          <cell r="G45" t="str">
            <v>m</v>
          </cell>
          <cell r="H45" t="e">
            <v>#N/A</v>
          </cell>
          <cell r="I45" t="e">
            <v>#N/A</v>
          </cell>
          <cell r="J45" t="e">
            <v>#N/A</v>
          </cell>
          <cell r="K45" t="e">
            <v>#N/A</v>
          </cell>
          <cell r="L45" t="e">
            <v>#NUM!</v>
          </cell>
          <cell r="M45" t="e">
            <v>#NUM!</v>
          </cell>
          <cell r="N45" t="e">
            <v>#NUM!</v>
          </cell>
          <cell r="O45" t="e">
            <v>#NUM!</v>
          </cell>
          <cell r="P45" t="e">
            <v>#NUM!</v>
          </cell>
          <cell r="Q45" t="e">
            <v>#NUM!</v>
          </cell>
          <cell r="R45" t="e">
            <v>#NUM!</v>
          </cell>
          <cell r="S45" t="e">
            <v>#NUM!</v>
          </cell>
          <cell r="T45" t="e">
            <v>#NUM!</v>
          </cell>
          <cell r="U45" t="e">
            <v>#NUM!</v>
          </cell>
          <cell r="V45" t="e">
            <v>#NUM!</v>
          </cell>
          <cell r="W45" t="e">
            <v>#NUM!</v>
          </cell>
          <cell r="X45" t="e">
            <v>#NUM!</v>
          </cell>
          <cell r="Y45" t="e">
            <v>#NUM!</v>
          </cell>
          <cell r="Z45" t="e">
            <v>#NUM!</v>
          </cell>
          <cell r="AA45" t="e">
            <v>#NUM!</v>
          </cell>
          <cell r="AB45" t="e">
            <v>#NUM!</v>
          </cell>
          <cell r="AC45" t="e">
            <v>#NUM!</v>
          </cell>
          <cell r="AD45" t="e">
            <v>#NUM!</v>
          </cell>
          <cell r="AE45" t="e">
            <v>#NUM!</v>
          </cell>
        </row>
        <row r="46">
          <cell r="B46">
            <v>0</v>
          </cell>
          <cell r="D46" t="str">
            <v/>
          </cell>
          <cell r="E46" t="e">
            <v>#N/A</v>
          </cell>
          <cell r="F46">
            <v>0</v>
          </cell>
          <cell r="G46" t="str">
            <v>m</v>
          </cell>
          <cell r="H46" t="e">
            <v>#N/A</v>
          </cell>
          <cell r="I46" t="e">
            <v>#N/A</v>
          </cell>
          <cell r="J46" t="e">
            <v>#N/A</v>
          </cell>
          <cell r="K46" t="e">
            <v>#N/A</v>
          </cell>
          <cell r="L46" t="e">
            <v>#NUM!</v>
          </cell>
          <cell r="M46" t="e">
            <v>#NUM!</v>
          </cell>
          <cell r="N46" t="e">
            <v>#NUM!</v>
          </cell>
          <cell r="O46" t="e">
            <v>#NUM!</v>
          </cell>
          <cell r="P46" t="e">
            <v>#NUM!</v>
          </cell>
          <cell r="Q46" t="e">
            <v>#NUM!</v>
          </cell>
          <cell r="R46" t="e">
            <v>#NUM!</v>
          </cell>
          <cell r="S46" t="e">
            <v>#NUM!</v>
          </cell>
          <cell r="T46" t="e">
            <v>#NUM!</v>
          </cell>
          <cell r="U46" t="e">
            <v>#NUM!</v>
          </cell>
          <cell r="V46" t="e">
            <v>#NUM!</v>
          </cell>
          <cell r="W46" t="e">
            <v>#NUM!</v>
          </cell>
          <cell r="X46" t="e">
            <v>#NUM!</v>
          </cell>
          <cell r="Y46" t="e">
            <v>#NUM!</v>
          </cell>
          <cell r="Z46" t="e">
            <v>#NUM!</v>
          </cell>
          <cell r="AA46" t="e">
            <v>#NUM!</v>
          </cell>
          <cell r="AB46" t="e">
            <v>#NUM!</v>
          </cell>
          <cell r="AC46" t="e">
            <v>#NUM!</v>
          </cell>
          <cell r="AD46" t="e">
            <v>#NUM!</v>
          </cell>
          <cell r="AE46" t="e">
            <v>#NUM!</v>
          </cell>
        </row>
        <row r="47">
          <cell r="B47">
            <v>0</v>
          </cell>
          <cell r="D47" t="str">
            <v/>
          </cell>
          <cell r="E47" t="e">
            <v>#N/A</v>
          </cell>
          <cell r="F47">
            <v>0</v>
          </cell>
          <cell r="G47" t="str">
            <v>m</v>
          </cell>
          <cell r="H47" t="e">
            <v>#N/A</v>
          </cell>
          <cell r="I47" t="e">
            <v>#N/A</v>
          </cell>
          <cell r="J47" t="e">
            <v>#N/A</v>
          </cell>
          <cell r="K47" t="e">
            <v>#N/A</v>
          </cell>
          <cell r="L47" t="e">
            <v>#NUM!</v>
          </cell>
          <cell r="M47" t="e">
            <v>#NUM!</v>
          </cell>
          <cell r="N47" t="e">
            <v>#NUM!</v>
          </cell>
          <cell r="O47" t="e">
            <v>#NUM!</v>
          </cell>
          <cell r="P47" t="e">
            <v>#NUM!</v>
          </cell>
          <cell r="Q47" t="e">
            <v>#NUM!</v>
          </cell>
          <cell r="R47" t="e">
            <v>#NUM!</v>
          </cell>
          <cell r="S47" t="e">
            <v>#NUM!</v>
          </cell>
          <cell r="T47" t="e">
            <v>#NUM!</v>
          </cell>
          <cell r="U47" t="e">
            <v>#NUM!</v>
          </cell>
          <cell r="V47" t="e">
            <v>#NUM!</v>
          </cell>
          <cell r="W47" t="e">
            <v>#NUM!</v>
          </cell>
          <cell r="X47" t="e">
            <v>#NUM!</v>
          </cell>
          <cell r="Y47" t="e">
            <v>#NUM!</v>
          </cell>
          <cell r="Z47" t="e">
            <v>#NUM!</v>
          </cell>
          <cell r="AA47" t="e">
            <v>#NUM!</v>
          </cell>
          <cell r="AB47" t="e">
            <v>#NUM!</v>
          </cell>
          <cell r="AC47" t="e">
            <v>#NUM!</v>
          </cell>
          <cell r="AD47" t="e">
            <v>#NUM!</v>
          </cell>
          <cell r="AE47" t="e">
            <v>#NUM!</v>
          </cell>
        </row>
        <row r="48">
          <cell r="B48">
            <v>0</v>
          </cell>
          <cell r="D48" t="str">
            <v/>
          </cell>
          <cell r="E48" t="e">
            <v>#N/A</v>
          </cell>
          <cell r="F48">
            <v>0</v>
          </cell>
          <cell r="G48" t="str">
            <v>m</v>
          </cell>
          <cell r="H48" t="e">
            <v>#N/A</v>
          </cell>
          <cell r="I48" t="e">
            <v>#N/A</v>
          </cell>
          <cell r="J48" t="e">
            <v>#N/A</v>
          </cell>
          <cell r="K48" t="e">
            <v>#N/A</v>
          </cell>
          <cell r="L48" t="e">
            <v>#NUM!</v>
          </cell>
          <cell r="M48" t="e">
            <v>#NUM!</v>
          </cell>
          <cell r="N48" t="e">
            <v>#NUM!</v>
          </cell>
          <cell r="O48" t="e">
            <v>#NUM!</v>
          </cell>
          <cell r="P48" t="e">
            <v>#NUM!</v>
          </cell>
          <cell r="Q48" t="e">
            <v>#NUM!</v>
          </cell>
          <cell r="R48" t="e">
            <v>#NUM!</v>
          </cell>
          <cell r="S48" t="e">
            <v>#NUM!</v>
          </cell>
          <cell r="T48" t="e">
            <v>#NUM!</v>
          </cell>
          <cell r="U48" t="e">
            <v>#NUM!</v>
          </cell>
          <cell r="V48" t="e">
            <v>#NUM!</v>
          </cell>
          <cell r="W48" t="e">
            <v>#NUM!</v>
          </cell>
          <cell r="X48" t="e">
            <v>#NUM!</v>
          </cell>
          <cell r="Y48" t="e">
            <v>#NUM!</v>
          </cell>
          <cell r="Z48" t="e">
            <v>#NUM!</v>
          </cell>
          <cell r="AA48" t="e">
            <v>#NUM!</v>
          </cell>
          <cell r="AB48" t="e">
            <v>#NUM!</v>
          </cell>
          <cell r="AC48" t="e">
            <v>#NUM!</v>
          </cell>
          <cell r="AD48" t="e">
            <v>#NUM!</v>
          </cell>
          <cell r="AE48" t="e">
            <v>#NUM!</v>
          </cell>
        </row>
        <row r="49">
          <cell r="B49">
            <v>0</v>
          </cell>
          <cell r="D49" t="str">
            <v/>
          </cell>
          <cell r="E49" t="e">
            <v>#N/A</v>
          </cell>
          <cell r="F49">
            <v>0</v>
          </cell>
          <cell r="G49" t="str">
            <v>m</v>
          </cell>
          <cell r="H49" t="e">
            <v>#N/A</v>
          </cell>
          <cell r="I49" t="e">
            <v>#N/A</v>
          </cell>
          <cell r="J49" t="e">
            <v>#N/A</v>
          </cell>
          <cell r="K49" t="e">
            <v>#N/A</v>
          </cell>
          <cell r="L49" t="e">
            <v>#NUM!</v>
          </cell>
          <cell r="M49" t="e">
            <v>#NUM!</v>
          </cell>
          <cell r="N49" t="e">
            <v>#NUM!</v>
          </cell>
          <cell r="O49" t="e">
            <v>#NUM!</v>
          </cell>
          <cell r="P49" t="e">
            <v>#NUM!</v>
          </cell>
          <cell r="Q49" t="e">
            <v>#NUM!</v>
          </cell>
          <cell r="R49" t="e">
            <v>#NUM!</v>
          </cell>
          <cell r="S49" t="e">
            <v>#NUM!</v>
          </cell>
          <cell r="T49" t="e">
            <v>#NUM!</v>
          </cell>
          <cell r="U49" t="e">
            <v>#NUM!</v>
          </cell>
          <cell r="V49" t="e">
            <v>#NUM!</v>
          </cell>
          <cell r="W49" t="e">
            <v>#NUM!</v>
          </cell>
          <cell r="X49" t="e">
            <v>#NUM!</v>
          </cell>
          <cell r="Y49" t="e">
            <v>#NUM!</v>
          </cell>
          <cell r="Z49" t="e">
            <v>#NUM!</v>
          </cell>
          <cell r="AA49" t="e">
            <v>#NUM!</v>
          </cell>
          <cell r="AB49" t="e">
            <v>#NUM!</v>
          </cell>
          <cell r="AC49" t="e">
            <v>#NUM!</v>
          </cell>
          <cell r="AD49" t="e">
            <v>#NUM!</v>
          </cell>
          <cell r="AE49" t="e">
            <v>#NUM!</v>
          </cell>
        </row>
        <row r="60">
          <cell r="B60" t="str">
            <v>Communisis</v>
          </cell>
          <cell r="D60" t="str">
            <v/>
          </cell>
          <cell r="E60" t="str">
            <v>p</v>
          </cell>
          <cell r="F60">
            <v>126.5</v>
          </cell>
          <cell r="G60" t="str">
            <v>£m</v>
          </cell>
          <cell r="H60">
            <v>181.809595</v>
          </cell>
          <cell r="I60">
            <v>181.809595</v>
          </cell>
          <cell r="J60">
            <v>201.809595</v>
          </cell>
          <cell r="K60">
            <v>201.809595</v>
          </cell>
          <cell r="L60">
            <v>0.76988362644489372</v>
          </cell>
          <cell r="M60">
            <v>0.6350207520453115</v>
          </cell>
          <cell r="N60">
            <v>0.59443179675994107</v>
          </cell>
          <cell r="O60">
            <v>0.13805047806623594</v>
          </cell>
          <cell r="P60">
            <v>5.5750046962623276</v>
          </cell>
          <cell r="Q60">
            <v>5.1746049999999997</v>
          </cell>
          <cell r="R60">
            <v>4.5761812925170071</v>
          </cell>
          <cell r="S60">
            <v>0.10375074085930169</v>
          </cell>
          <cell r="T60">
            <v>22.086028065893835</v>
          </cell>
          <cell r="U60">
            <v>27.857142857142858</v>
          </cell>
          <cell r="V60">
            <v>29.400000000000002</v>
          </cell>
          <cell r="W60">
            <v>0</v>
          </cell>
          <cell r="X60">
            <v>8.055949662688116</v>
          </cell>
          <cell r="Y60">
            <v>7.5022154275092943</v>
          </cell>
          <cell r="Z60">
            <v>6.8410032203389832</v>
          </cell>
          <cell r="AA60">
            <v>8.5171737878660059E-2</v>
          </cell>
          <cell r="AB60">
            <v>10.377358490566039</v>
          </cell>
          <cell r="AC60">
            <v>10.218493643089104</v>
          </cell>
          <cell r="AD60">
            <v>9.0489545500176956</v>
          </cell>
          <cell r="AE60">
            <v>7.0888380862881295E-2</v>
          </cell>
        </row>
        <row r="61">
          <cell r="B61" t="str">
            <v>4imprint</v>
          </cell>
          <cell r="D61" t="str">
            <v/>
          </cell>
          <cell r="E61" t="str">
            <v>p</v>
          </cell>
          <cell r="F61">
            <v>45</v>
          </cell>
          <cell r="G61" t="str">
            <v>£m</v>
          </cell>
          <cell r="H61">
            <v>12.92085</v>
          </cell>
          <cell r="I61">
            <v>12.92085</v>
          </cell>
          <cell r="J61">
            <v>8.0928499999999985</v>
          </cell>
          <cell r="K61">
            <v>8.0928499999999985</v>
          </cell>
          <cell r="L61">
            <v>8.5525495376486113E-2</v>
          </cell>
          <cell r="M61">
            <v>8.4300520833333323E-2</v>
          </cell>
          <cell r="N61">
            <v>8.0928499999999987E-2</v>
          </cell>
          <cell r="O61">
            <v>2.8009324086854415E-2</v>
          </cell>
          <cell r="P61">
            <v>1.6976819802810987</v>
          </cell>
          <cell r="Q61">
            <v>1.6733662227510311</v>
          </cell>
          <cell r="R61">
            <v>1.4197982456140348</v>
          </cell>
          <cell r="S61">
            <v>9.349009093840932E-2</v>
          </cell>
          <cell r="T61">
            <v>-19.457142857142859</v>
          </cell>
          <cell r="U61" t="str">
            <v>nm</v>
          </cell>
          <cell r="V61" t="str">
            <v>nm</v>
          </cell>
          <cell r="W61">
            <v>0</v>
          </cell>
          <cell r="X61">
            <v>3.4175886824324313</v>
          </cell>
          <cell r="Y61">
            <v>3.3686388445330091</v>
          </cell>
          <cell r="Z61">
            <v>2.4778025236322567</v>
          </cell>
          <cell r="AA61">
            <v>0.17442841661453445</v>
          </cell>
          <cell r="AB61">
            <v>7.0644341170038274</v>
          </cell>
          <cell r="AC61">
            <v>7.0103534245868442</v>
          </cell>
          <cell r="AD61">
            <v>3.8866166812059282</v>
          </cell>
          <cell r="AE61">
            <v>0.34819537970132663</v>
          </cell>
        </row>
        <row r="62">
          <cell r="B62" t="str">
            <v>De la Rue</v>
          </cell>
          <cell r="D62" t="str">
            <v/>
          </cell>
          <cell r="E62" t="str">
            <v>p</v>
          </cell>
          <cell r="F62">
            <v>246.5</v>
          </cell>
          <cell r="G62" t="str">
            <v>£m</v>
          </cell>
          <cell r="H62">
            <v>452.72190000000001</v>
          </cell>
          <cell r="I62">
            <v>452.72190000000001</v>
          </cell>
          <cell r="J62">
            <v>467.02190000000002</v>
          </cell>
          <cell r="K62">
            <v>467.02190000000002</v>
          </cell>
          <cell r="L62">
            <v>0.77890154923109611</v>
          </cell>
          <cell r="M62">
            <v>0.79205723333124245</v>
          </cell>
          <cell r="N62">
            <v>0.7619615651093351</v>
          </cell>
          <cell r="O62">
            <v>1.1054930092999626E-2</v>
          </cell>
          <cell r="P62">
            <v>5.2750423487544484</v>
          </cell>
          <cell r="Q62">
            <v>22.601828891540709</v>
          </cell>
          <cell r="R62" t="str">
            <v>nm</v>
          </cell>
          <cell r="S62">
            <v>-1</v>
          </cell>
          <cell r="T62">
            <v>67.113187954309439</v>
          </cell>
          <cell r="U62">
            <v>93.1111111111111</v>
          </cell>
          <cell r="V62" t="str">
            <v>nm</v>
          </cell>
          <cell r="W62">
            <v>0</v>
          </cell>
          <cell r="X62">
            <v>9.8487978680379022</v>
          </cell>
          <cell r="Y62">
            <v>13.122632294072364</v>
          </cell>
          <cell r="Z62">
            <v>11.545463341122288</v>
          </cell>
          <cell r="AA62">
            <v>-7.6395736931399116E-2</v>
          </cell>
          <cell r="AB62">
            <v>10.792469041865322</v>
          </cell>
          <cell r="AC62">
            <v>14.760420105689661</v>
          </cell>
          <cell r="AD62">
            <v>13.783607813098429</v>
          </cell>
          <cell r="AE62">
            <v>-0.11513105816930369</v>
          </cell>
        </row>
        <row r="63">
          <cell r="B63" t="str">
            <v>Donnelley</v>
          </cell>
          <cell r="D63" t="str">
            <v/>
          </cell>
          <cell r="E63" t="str">
            <v>$</v>
          </cell>
          <cell r="F63">
            <v>27</v>
          </cell>
          <cell r="G63" t="str">
            <v>$m</v>
          </cell>
          <cell r="H63">
            <v>3059.1</v>
          </cell>
          <cell r="I63">
            <v>1960.4588567034091</v>
          </cell>
          <cell r="J63">
            <v>3003.9</v>
          </cell>
          <cell r="K63">
            <v>1925.0833119712893</v>
          </cell>
          <cell r="L63">
            <v>0.63174338587451317</v>
          </cell>
          <cell r="M63">
            <v>0.62259575526446687</v>
          </cell>
          <cell r="N63">
            <v>0.60401753398214431</v>
          </cell>
          <cell r="O63">
            <v>2.269369596304438E-2</v>
          </cell>
          <cell r="P63">
            <v>4.8123998718359502</v>
          </cell>
          <cell r="Q63">
            <v>5.1243602865916067</v>
          </cell>
          <cell r="R63">
            <v>4.8987279843444229</v>
          </cell>
          <cell r="S63">
            <v>-8.8504436124673402E-3</v>
          </cell>
          <cell r="T63">
            <v>9.9366423636537302</v>
          </cell>
          <cell r="U63">
            <v>11.630952380952381</v>
          </cell>
          <cell r="V63">
            <v>10.44633730834753</v>
          </cell>
          <cell r="W63">
            <v>0</v>
          </cell>
          <cell r="X63">
            <v>8.9481680071492402</v>
          </cell>
          <cell r="Y63">
            <v>9.7056542810985462</v>
          </cell>
          <cell r="Z63">
            <v>9.1526508226691057</v>
          </cell>
          <cell r="AA63">
            <v>-1.1233787100699777E-2</v>
          </cell>
          <cell r="AB63">
            <v>18.230631704410012</v>
          </cell>
          <cell r="AC63">
            <v>20.641700404858298</v>
          </cell>
          <cell r="AD63">
            <v>18.317964071856288</v>
          </cell>
          <cell r="AE63">
            <v>-2.386638247522388E-3</v>
          </cell>
        </row>
        <row r="64">
          <cell r="B64" t="str">
            <v>Bowne</v>
          </cell>
          <cell r="D64" t="str">
            <v/>
          </cell>
          <cell r="E64" t="str">
            <v>$</v>
          </cell>
          <cell r="F64">
            <v>13.95</v>
          </cell>
          <cell r="G64" t="str">
            <v>$m</v>
          </cell>
          <cell r="H64">
            <v>468.98505</v>
          </cell>
          <cell r="I64">
            <v>300.55437708279925</v>
          </cell>
          <cell r="J64">
            <v>468.98505</v>
          </cell>
          <cell r="K64">
            <v>300.55437708279925</v>
          </cell>
          <cell r="L64">
            <v>0.46743037656753639</v>
          </cell>
          <cell r="M64">
            <v>0.42919836185595311</v>
          </cell>
          <cell r="N64">
            <v>0.38691943734015349</v>
          </cell>
          <cell r="O64">
            <v>9.9127799455379195E-2</v>
          </cell>
          <cell r="P64">
            <v>11.289690907777858</v>
          </cell>
          <cell r="Q64">
            <v>6.5965040227298299</v>
          </cell>
          <cell r="R64">
            <v>3.6825598925820353</v>
          </cell>
          <cell r="S64">
            <v>0.75091924602753379</v>
          </cell>
          <cell r="T64">
            <v>5.8286796688648801</v>
          </cell>
          <cell r="U64">
            <v>6.4439409045590503</v>
          </cell>
          <cell r="V64">
            <v>12.735300000000001</v>
          </cell>
          <cell r="W64">
            <v>0</v>
          </cell>
          <cell r="X64">
            <v>533.54385665529014</v>
          </cell>
          <cell r="Y64">
            <v>17.532806833900331</v>
          </cell>
          <cell r="Z64">
            <v>5.8718548891949416</v>
          </cell>
          <cell r="AA64">
            <v>8.5322934745577736</v>
          </cell>
          <cell r="AB64">
            <v>126.81818181818181</v>
          </cell>
          <cell r="AC64">
            <v>33.214285714285715</v>
          </cell>
          <cell r="AD64">
            <v>12.567567567567567</v>
          </cell>
          <cell r="AE64">
            <v>2.1766191290283907</v>
          </cell>
        </row>
        <row r="65">
          <cell r="B65" t="str">
            <v>Pitney Bowes</v>
          </cell>
          <cell r="D65" t="str">
            <v/>
          </cell>
          <cell r="E65" t="str">
            <v>$</v>
          </cell>
          <cell r="F65">
            <v>37.07</v>
          </cell>
          <cell r="G65" t="str">
            <v>$m</v>
          </cell>
          <cell r="H65">
            <v>8682.6466099999998</v>
          </cell>
          <cell r="I65">
            <v>5564.3723468341441</v>
          </cell>
          <cell r="J65">
            <v>12328.18161</v>
          </cell>
          <cell r="K65">
            <v>7900.6547103306839</v>
          </cell>
          <cell r="L65">
            <v>2.7956328200825431</v>
          </cell>
          <cell r="M65">
            <v>2.715279080677488</v>
          </cell>
          <cell r="N65">
            <v>2.5837119585036152</v>
          </cell>
          <cell r="O65">
            <v>4.0202797728323914E-2</v>
          </cell>
          <cell r="P65">
            <v>9.6612057599623817</v>
          </cell>
          <cell r="Q65">
            <v>9.350542247662462</v>
          </cell>
          <cell r="R65">
            <v>8.6128278461083632</v>
          </cell>
          <cell r="S65">
            <v>5.9114179667357103E-2</v>
          </cell>
          <cell r="T65">
            <v>7.1247906197654958</v>
          </cell>
          <cell r="U65" t="str">
            <v>nm</v>
          </cell>
          <cell r="V65" t="str">
            <v>nm</v>
          </cell>
          <cell r="W65">
            <v>0</v>
          </cell>
          <cell r="X65">
            <v>12.184405623641034</v>
          </cell>
          <cell r="Y65">
            <v>12.235194134577213</v>
          </cell>
          <cell r="Z65">
            <v>11.159755236715849</v>
          </cell>
          <cell r="AA65">
            <v>4.4900265354759217E-2</v>
          </cell>
          <cell r="AB65">
            <v>15.179452115384615</v>
          </cell>
          <cell r="AC65">
            <v>15.445833333333335</v>
          </cell>
          <cell r="AD65">
            <v>13.98867924528302</v>
          </cell>
          <cell r="AE65">
            <v>4.1692871465259795E-2</v>
          </cell>
        </row>
        <row r="66">
          <cell r="B66" t="str">
            <v>Bunzl</v>
          </cell>
          <cell r="D66" t="str">
            <v/>
          </cell>
          <cell r="E66" t="str">
            <v>p</v>
          </cell>
          <cell r="F66">
            <v>438.25</v>
          </cell>
          <cell r="G66" t="str">
            <v>£m</v>
          </cell>
          <cell r="H66">
            <v>2013.77628</v>
          </cell>
          <cell r="I66">
            <v>2013.77628</v>
          </cell>
          <cell r="J66">
            <v>2111.6762800000001</v>
          </cell>
          <cell r="K66">
            <v>2111.6762800000001</v>
          </cell>
          <cell r="L66">
            <v>0.74478054526857829</v>
          </cell>
          <cell r="M66">
            <v>0.76435236543960627</v>
          </cell>
          <cell r="N66">
            <v>0.73969324646209889</v>
          </cell>
          <cell r="O66">
            <v>3.4328971546426779E-3</v>
          </cell>
          <cell r="P66">
            <v>8.4874448553054656</v>
          </cell>
          <cell r="Q66">
            <v>8.5875407889385933</v>
          </cell>
          <cell r="R66">
            <v>8.2390802965275078</v>
          </cell>
          <cell r="S66">
            <v>1.4960439886088306E-2</v>
          </cell>
          <cell r="T66">
            <v>42.896551724137936</v>
          </cell>
          <cell r="U66">
            <v>40.311475409836071</v>
          </cell>
          <cell r="V66">
            <v>35.597222222222221</v>
          </cell>
          <cell r="W66">
            <v>0</v>
          </cell>
          <cell r="X66">
            <v>9.8035110492107709</v>
          </cell>
          <cell r="Y66">
            <v>9.6335596715328471</v>
          </cell>
          <cell r="Z66">
            <v>9.2820935384615382</v>
          </cell>
          <cell r="AA66">
            <v>2.7703536512390325E-2</v>
          </cell>
          <cell r="AB66">
            <v>14.251778343949043</v>
          </cell>
          <cell r="AC66">
            <v>14.529410389610391</v>
          </cell>
          <cell r="AD66">
            <v>14.052870062805306</v>
          </cell>
          <cell r="AE66">
            <v>7.0522735539624293E-3</v>
          </cell>
        </row>
        <row r="67">
          <cell r="B67" t="str">
            <v>Hays</v>
          </cell>
          <cell r="D67" t="str">
            <v/>
          </cell>
          <cell r="E67" t="str">
            <v>p</v>
          </cell>
          <cell r="F67">
            <v>101.5</v>
          </cell>
          <cell r="G67" t="str">
            <v>£m</v>
          </cell>
          <cell r="H67">
            <v>1755.95</v>
          </cell>
          <cell r="I67">
            <v>1755.95</v>
          </cell>
          <cell r="J67">
            <v>1988.95</v>
          </cell>
          <cell r="K67">
            <v>1988.95</v>
          </cell>
          <cell r="L67">
            <v>0.80904904856043425</v>
          </cell>
          <cell r="M67">
            <v>0.7966048922120077</v>
          </cell>
          <cell r="N67">
            <v>0.76704427189266811</v>
          </cell>
          <cell r="O67">
            <v>2.7016001505545617E-2</v>
          </cell>
          <cell r="P67">
            <v>6.9978162150490801</v>
          </cell>
          <cell r="Q67">
            <v>7.5179076269870038</v>
          </cell>
          <cell r="R67">
            <v>7.0509591103341123</v>
          </cell>
          <cell r="S67">
            <v>-3.7756146183631767E-3</v>
          </cell>
          <cell r="T67">
            <v>15.710852314029559</v>
          </cell>
          <cell r="U67">
            <v>16.038033549244318</v>
          </cell>
          <cell r="V67">
            <v>18.815789473684209</v>
          </cell>
          <cell r="W67">
            <v>0</v>
          </cell>
          <cell r="X67">
            <v>9.1485388761399982</v>
          </cell>
          <cell r="Y67">
            <v>10.223155945474007</v>
          </cell>
          <cell r="Z67">
            <v>9.4001832213287759</v>
          </cell>
          <cell r="AA67">
            <v>-1.3475876233197126E-2</v>
          </cell>
          <cell r="AB67">
            <v>12.472473529245782</v>
          </cell>
          <cell r="AC67">
            <v>13.987511184827918</v>
          </cell>
          <cell r="AD67">
            <v>12.718215462158195</v>
          </cell>
          <cell r="AE67">
            <v>-9.7081466116490933E-3</v>
          </cell>
        </row>
        <row r="68">
          <cell r="B68" t="str">
            <v>PHS</v>
          </cell>
          <cell r="D68" t="str">
            <v/>
          </cell>
          <cell r="E68" t="str">
            <v>p</v>
          </cell>
          <cell r="F68">
            <v>74</v>
          </cell>
          <cell r="G68" t="str">
            <v>£m</v>
          </cell>
          <cell r="H68">
            <v>382.61329999999992</v>
          </cell>
          <cell r="I68">
            <v>382.61329999999992</v>
          </cell>
          <cell r="J68">
            <v>477.27729999999991</v>
          </cell>
          <cell r="K68">
            <v>477.27729999999991</v>
          </cell>
          <cell r="L68">
            <v>3.5676734949747151</v>
          </cell>
          <cell r="M68">
            <v>3.0783280097711332</v>
          </cell>
          <cell r="N68">
            <v>2.8084187409318067</v>
          </cell>
          <cell r="O68">
            <v>0.12709784579480199</v>
          </cell>
          <cell r="P68">
            <v>10.163313991443751</v>
          </cell>
          <cell r="Q68">
            <v>8.5880893316762474</v>
          </cell>
          <cell r="R68">
            <v>7.6444792110055495</v>
          </cell>
          <cell r="S68">
            <v>0.15303826357833672</v>
          </cell>
          <cell r="T68">
            <v>6.1883545199524868</v>
          </cell>
          <cell r="U68">
            <v>10.041249820556104</v>
          </cell>
          <cell r="V68">
            <v>12.099017786036633</v>
          </cell>
          <cell r="W68">
            <v>0</v>
          </cell>
          <cell r="X68">
            <v>12.135213957366652</v>
          </cell>
          <cell r="Y68">
            <v>10.277234407566889</v>
          </cell>
          <cell r="Z68">
            <v>9.1466037225664163</v>
          </cell>
          <cell r="AA68">
            <v>0.15184432542656556</v>
          </cell>
          <cell r="AB68">
            <v>15.644820295983084</v>
          </cell>
          <cell r="AC68">
            <v>13.350468329090774</v>
          </cell>
          <cell r="AD68">
            <v>11.620952995589976</v>
          </cell>
          <cell r="AE68">
            <v>0.16028430386185</v>
          </cell>
        </row>
        <row r="69">
          <cell r="B69" t="str">
            <v xml:space="preserve">Compass </v>
          </cell>
          <cell r="D69" t="str">
            <v/>
          </cell>
          <cell r="E69" t="str">
            <v>p</v>
          </cell>
          <cell r="F69">
            <v>334.25</v>
          </cell>
          <cell r="G69" t="str">
            <v>£m</v>
          </cell>
          <cell r="H69">
            <v>7402.2135950000002</v>
          </cell>
          <cell r="I69">
            <v>7402.2135950000002</v>
          </cell>
          <cell r="J69">
            <v>9692.2135950000011</v>
          </cell>
          <cell r="K69">
            <v>9692.2135950000011</v>
          </cell>
          <cell r="L69">
            <v>0.9128956951116135</v>
          </cell>
          <cell r="M69">
            <v>0.87221374660283302</v>
          </cell>
          <cell r="N69">
            <v>0.82042151019578968</v>
          </cell>
          <cell r="O69">
            <v>5.4853286643976817E-2</v>
          </cell>
          <cell r="P69">
            <v>9.3644575797101464</v>
          </cell>
          <cell r="Q69">
            <v>9.4466019444444456</v>
          </cell>
          <cell r="R69">
            <v>8.7081883153638824</v>
          </cell>
          <cell r="S69">
            <v>3.6996778606654956E-2</v>
          </cell>
          <cell r="T69">
            <v>6.8543046357615891</v>
          </cell>
          <cell r="U69">
            <v>7.6567164179104479</v>
          </cell>
          <cell r="V69">
            <v>9.8495575221238933</v>
          </cell>
          <cell r="W69">
            <v>0</v>
          </cell>
          <cell r="X69">
            <v>12.040016888198759</v>
          </cell>
          <cell r="Y69">
            <v>12.392550306866131</v>
          </cell>
          <cell r="Z69">
            <v>11.508208970553314</v>
          </cell>
          <cell r="AA69">
            <v>2.2844651021954432E-2</v>
          </cell>
          <cell r="AB69">
            <v>14.984238046558705</v>
          </cell>
          <cell r="AC69">
            <v>16.318813040123455</v>
          </cell>
          <cell r="AD69">
            <v>14.542659322200391</v>
          </cell>
          <cell r="AE69">
            <v>1.5068654067120546E-2</v>
          </cell>
        </row>
        <row r="70">
          <cell r="B70" t="str">
            <v xml:space="preserve">Wyndeham </v>
          </cell>
          <cell r="D70" t="str">
            <v/>
          </cell>
          <cell r="E70" t="str">
            <v>p</v>
          </cell>
          <cell r="F70">
            <v>127.5</v>
          </cell>
          <cell r="G70" t="str">
            <v>£m</v>
          </cell>
          <cell r="H70">
            <v>55.717500000000001</v>
          </cell>
          <cell r="I70">
            <v>55.717500000000001</v>
          </cell>
          <cell r="J70">
            <v>82.717500000000001</v>
          </cell>
          <cell r="K70">
            <v>82.717500000000001</v>
          </cell>
          <cell r="L70">
            <v>0.6681545768272189</v>
          </cell>
          <cell r="M70">
            <v>0.660873802665219</v>
          </cell>
          <cell r="N70">
            <v>0.64516715815116354</v>
          </cell>
          <cell r="O70">
            <v>1.7659164399682403E-2</v>
          </cell>
          <cell r="P70">
            <v>4.4002870428465561</v>
          </cell>
          <cell r="Q70">
            <v>16.95554291972033</v>
          </cell>
          <cell r="R70" t="str">
            <v>nm</v>
          </cell>
          <cell r="S70">
            <v>-1</v>
          </cell>
          <cell r="T70">
            <v>6.3647954805823668</v>
          </cell>
          <cell r="U70">
            <v>7.0035398230088495</v>
          </cell>
          <cell r="V70" t="str">
            <v>nm</v>
          </cell>
          <cell r="W70">
            <v>0</v>
          </cell>
          <cell r="X70">
            <v>9.7074093544124302</v>
          </cell>
          <cell r="Y70">
            <v>36.424040897575097</v>
          </cell>
          <cell r="Z70" t="str">
            <v>nm</v>
          </cell>
          <cell r="AA70">
            <v>-1</v>
          </cell>
          <cell r="AB70">
            <v>14.730897244596397</v>
          </cell>
          <cell r="AC70">
            <v>11.078440718683565</v>
          </cell>
          <cell r="AD70">
            <v>9.6370884241043697</v>
          </cell>
          <cell r="AE70">
            <v>0.23635069736686254</v>
          </cell>
        </row>
        <row r="71">
          <cell r="B71" t="str">
            <v>St Ives</v>
          </cell>
          <cell r="D71" t="str">
            <v/>
          </cell>
          <cell r="E71" t="str">
            <v>p</v>
          </cell>
          <cell r="F71">
            <v>383.5</v>
          </cell>
          <cell r="G71" t="str">
            <v>£m</v>
          </cell>
          <cell r="H71">
            <v>393.52469000000002</v>
          </cell>
          <cell r="I71">
            <v>393.52469000000002</v>
          </cell>
          <cell r="J71">
            <v>372.12469000000004</v>
          </cell>
          <cell r="K71">
            <v>372.12469000000004</v>
          </cell>
          <cell r="L71">
            <v>0.81538644573436203</v>
          </cell>
          <cell r="M71">
            <v>0.83392383769904821</v>
          </cell>
          <cell r="N71">
            <v>0.8069375985461219</v>
          </cell>
          <cell r="O71">
            <v>5.2214984279774779E-3</v>
          </cell>
          <cell r="P71">
            <v>5.3596308345966364</v>
          </cell>
          <cell r="Q71">
            <v>5.2252237749190211</v>
          </cell>
          <cell r="R71">
            <v>5.0119190365491413</v>
          </cell>
          <cell r="S71">
            <v>3.410685050510387E-2</v>
          </cell>
          <cell r="T71">
            <v>412.62050213292508</v>
          </cell>
          <cell r="U71" t="str">
            <v>nm</v>
          </cell>
          <cell r="V71" t="str">
            <v>nm</v>
          </cell>
          <cell r="W71">
            <v>0</v>
          </cell>
          <cell r="X71">
            <v>10.587242434583443</v>
          </cell>
          <cell r="Y71">
            <v>10.293476605306436</v>
          </cell>
          <cell r="Z71">
            <v>9.584954296541456</v>
          </cell>
          <cell r="AA71">
            <v>5.0984729249945016E-2</v>
          </cell>
          <cell r="AB71">
            <v>16.110882479853711</v>
          </cell>
          <cell r="AC71">
            <v>16.207477479563718</v>
          </cell>
          <cell r="AD71">
            <v>14.984638276917806</v>
          </cell>
          <cell r="AE71">
            <v>3.6899184710591948E-2</v>
          </cell>
        </row>
        <row r="72">
          <cell r="B72" t="str">
            <v>Access Plus</v>
          </cell>
          <cell r="D72" t="str">
            <v/>
          </cell>
          <cell r="E72" t="str">
            <v>p</v>
          </cell>
          <cell r="F72">
            <v>145</v>
          </cell>
          <cell r="G72" t="str">
            <v>£m</v>
          </cell>
          <cell r="H72">
            <v>26.168150000000001</v>
          </cell>
          <cell r="I72">
            <v>26.168150000000001</v>
          </cell>
          <cell r="J72">
            <v>25.18515</v>
          </cell>
          <cell r="K72">
            <v>25.18515</v>
          </cell>
          <cell r="L72">
            <v>0.82701704265589604</v>
          </cell>
          <cell r="M72">
            <v>0.76318636363636361</v>
          </cell>
          <cell r="N72">
            <v>0.71957571428571432</v>
          </cell>
          <cell r="O72">
            <v>7.2059725314582934E-2</v>
          </cell>
          <cell r="P72">
            <v>6.8793089319857961</v>
          </cell>
          <cell r="Q72">
            <v>5.2143167701863353</v>
          </cell>
          <cell r="R72">
            <v>4.815516252390057</v>
          </cell>
          <cell r="S72">
            <v>0.19522860933439357</v>
          </cell>
          <cell r="T72">
            <v>281.61538461538453</v>
          </cell>
          <cell r="U72" t="str">
            <v>nm</v>
          </cell>
          <cell r="V72" t="str">
            <v>nm</v>
          </cell>
          <cell r="W72">
            <v>0</v>
          </cell>
          <cell r="X72">
            <v>7.3383304195804193</v>
          </cell>
          <cell r="Y72">
            <v>5.5362640639664091</v>
          </cell>
          <cell r="Z72">
            <v>5.1063736535537396</v>
          </cell>
          <cell r="AA72">
            <v>0.19878785927942833</v>
          </cell>
          <cell r="AB72">
            <v>9.9931082012405241</v>
          </cell>
          <cell r="AC72">
            <v>8.32854681217691</v>
          </cell>
          <cell r="AD72">
            <v>7.663847780126849</v>
          </cell>
          <cell r="AE72">
            <v>0.14189681026478995</v>
          </cell>
        </row>
        <row r="73">
          <cell r="B73" t="str">
            <v>Quebecor World</v>
          </cell>
          <cell r="D73" t="str">
            <v/>
          </cell>
          <cell r="E73" t="str">
            <v>$</v>
          </cell>
          <cell r="F73">
            <v>19.216797442603891</v>
          </cell>
          <cell r="G73" t="str">
            <v>$m</v>
          </cell>
          <cell r="H73">
            <v>2522.7619514675962</v>
          </cell>
          <cell r="I73">
            <v>1616.7405482360907</v>
          </cell>
          <cell r="J73">
            <v>4282.7619514675962</v>
          </cell>
          <cell r="K73">
            <v>2744.6564672312202</v>
          </cell>
          <cell r="L73">
            <v>0.68612014602172322</v>
          </cell>
          <cell r="M73">
            <v>0.66773132594327889</v>
          </cell>
          <cell r="N73">
            <v>0.64326984160947998</v>
          </cell>
          <cell r="O73">
            <v>3.2769705684269734E-2</v>
          </cell>
          <cell r="P73">
            <v>4.7670992336015097</v>
          </cell>
          <cell r="Q73">
            <v>5.1599541583946946</v>
          </cell>
          <cell r="R73">
            <v>4.8945850873915386</v>
          </cell>
          <cell r="S73">
            <v>-1.3109076210246484E-2</v>
          </cell>
          <cell r="T73">
            <v>5.2784958871915393</v>
          </cell>
          <cell r="U73">
            <v>4.7428571428571429</v>
          </cell>
          <cell r="V73">
            <v>5.46875</v>
          </cell>
          <cell r="W73">
            <v>0</v>
          </cell>
          <cell r="X73">
            <v>7.6097404965664461</v>
          </cell>
          <cell r="Y73">
            <v>8.8286166799991665</v>
          </cell>
          <cell r="Z73">
            <v>8.3047546082365642</v>
          </cell>
          <cell r="AA73">
            <v>-4.2758494088530052E-2</v>
          </cell>
          <cell r="AB73">
            <v>10.008748668022861</v>
          </cell>
          <cell r="AC73">
            <v>12.318459899105058</v>
          </cell>
          <cell r="AD73">
            <v>10.795953619440388</v>
          </cell>
          <cell r="AE73">
            <v>-3.7148332642388038E-2</v>
          </cell>
        </row>
        <row r="74">
          <cell r="B74" t="str">
            <v>Capita</v>
          </cell>
          <cell r="D74" t="str">
            <v/>
          </cell>
          <cell r="E74" t="str">
            <v>p</v>
          </cell>
          <cell r="F74">
            <v>214</v>
          </cell>
          <cell r="G74" t="str">
            <v>£m</v>
          </cell>
          <cell r="H74">
            <v>1442.42848</v>
          </cell>
          <cell r="I74">
            <v>1442.42848</v>
          </cell>
          <cell r="J74">
            <v>1576.42848</v>
          </cell>
          <cell r="K74">
            <v>1576.42848</v>
          </cell>
          <cell r="L74">
            <v>1.755488285077951</v>
          </cell>
          <cell r="M74">
            <v>1.4664450976744186</v>
          </cell>
          <cell r="N74">
            <v>1.275427572815534</v>
          </cell>
          <cell r="O74">
            <v>0.17319733301036266</v>
          </cell>
          <cell r="P74">
            <v>11.341212086330936</v>
          </cell>
          <cell r="Q74">
            <v>9.327979171597633</v>
          </cell>
          <cell r="R74">
            <v>8.6143632786885256</v>
          </cell>
          <cell r="S74">
            <v>0.1474087164519573</v>
          </cell>
          <cell r="T74">
            <v>-15.444444444444445</v>
          </cell>
          <cell r="U74">
            <v>-16.899999999999999</v>
          </cell>
          <cell r="V74">
            <v>-26.142857142857142</v>
          </cell>
          <cell r="W74">
            <v>0</v>
          </cell>
          <cell r="X74">
            <v>14.59656</v>
          </cell>
          <cell r="Y74">
            <v>12.033805190839695</v>
          </cell>
          <cell r="Z74">
            <v>10.37124</v>
          </cell>
          <cell r="AA74">
            <v>0.1863420280034791</v>
          </cell>
          <cell r="AB74">
            <v>20.596727622714148</v>
          </cell>
          <cell r="AC74">
            <v>16.890292028413576</v>
          </cell>
          <cell r="AD74">
            <v>14.276184122748498</v>
          </cell>
          <cell r="AE74">
            <v>0.20113837566601522</v>
          </cell>
        </row>
        <row r="75">
          <cell r="B75" t="str">
            <v>EDS</v>
          </cell>
          <cell r="D75" t="str">
            <v/>
          </cell>
          <cell r="E75" t="str">
            <v>$</v>
          </cell>
          <cell r="F75">
            <v>22.27</v>
          </cell>
          <cell r="G75" t="str">
            <v>$m</v>
          </cell>
          <cell r="H75">
            <v>10867.76</v>
          </cell>
          <cell r="I75">
            <v>6964.726993078697</v>
          </cell>
          <cell r="J75">
            <v>8977.76</v>
          </cell>
          <cell r="K75">
            <v>5753.4991027941551</v>
          </cell>
          <cell r="L75">
            <v>0.4131694969855953</v>
          </cell>
          <cell r="M75">
            <v>0.43176838359063147</v>
          </cell>
          <cell r="N75">
            <v>0.45055505369868515</v>
          </cell>
          <cell r="O75">
            <v>-4.2386647506876707E-2</v>
          </cell>
          <cell r="P75">
            <v>2.6289194729136165</v>
          </cell>
          <cell r="Q75">
            <v>3.2994340316060273</v>
          </cell>
          <cell r="R75">
            <v>3.0979158040027608</v>
          </cell>
          <cell r="S75">
            <v>-7.8800196700613334E-2</v>
          </cell>
          <cell r="T75">
            <v>-9.7851002865329519</v>
          </cell>
          <cell r="U75" t="str">
            <v>nm</v>
          </cell>
          <cell r="V75" t="str">
            <v>nm</v>
          </cell>
          <cell r="W75">
            <v>0</v>
          </cell>
          <cell r="X75">
            <v>4.5526166328600404</v>
          </cell>
          <cell r="Y75">
            <v>7.9378956675508405</v>
          </cell>
          <cell r="Z75">
            <v>7.2518255250403882</v>
          </cell>
          <cell r="AA75">
            <v>-0.20766860048768476</v>
          </cell>
          <cell r="AB75">
            <v>8.9079999999999995</v>
          </cell>
          <cell r="AC75">
            <v>18.558333333333334</v>
          </cell>
          <cell r="AD75">
            <v>16.871212121212121</v>
          </cell>
          <cell r="AE75">
            <v>-0.27336391501660195</v>
          </cell>
        </row>
        <row r="76">
          <cell r="B76" t="str">
            <v>Xerox</v>
          </cell>
          <cell r="D76" t="str">
            <v/>
          </cell>
          <cell r="E76" t="str">
            <v>$</v>
          </cell>
          <cell r="F76">
            <v>10.77</v>
          </cell>
          <cell r="G76" t="str">
            <v>$m</v>
          </cell>
          <cell r="H76">
            <v>8434.9024499999996</v>
          </cell>
          <cell r="I76">
            <v>5405.6026980261468</v>
          </cell>
          <cell r="J76">
            <v>22605.902450000001</v>
          </cell>
          <cell r="K76">
            <v>14487.248429889771</v>
          </cell>
          <cell r="L76">
            <v>1.4263298914758029</v>
          </cell>
          <cell r="M76">
            <v>1.4403801642624121</v>
          </cell>
          <cell r="N76">
            <v>1.4043201044889237</v>
          </cell>
          <cell r="O76">
            <v>7.805989820236503E-3</v>
          </cell>
          <cell r="P76">
            <v>9.1300090670436198</v>
          </cell>
          <cell r="Q76">
            <v>10.139449405696345</v>
          </cell>
          <cell r="R76">
            <v>9.6606420726495728</v>
          </cell>
          <cell r="S76">
            <v>-2.7851504192986765E-2</v>
          </cell>
          <cell r="T76" t="str">
            <v>nm</v>
          </cell>
          <cell r="U76" t="str">
            <v>nm</v>
          </cell>
          <cell r="V76" t="str">
            <v>nm</v>
          </cell>
          <cell r="W76">
            <v>0</v>
          </cell>
          <cell r="X76">
            <v>15.68764916724497</v>
          </cell>
          <cell r="Y76">
            <v>15.813852710738022</v>
          </cell>
          <cell r="Z76">
            <v>14.679157435064935</v>
          </cell>
          <cell r="AA76">
            <v>3.3780581204897686E-2</v>
          </cell>
          <cell r="AB76">
            <v>16.07462686567164</v>
          </cell>
          <cell r="AC76">
            <v>17.095238095238095</v>
          </cell>
          <cell r="AD76">
            <v>14.958333333333334</v>
          </cell>
          <cell r="AE76">
            <v>3.6642110697632235E-2</v>
          </cell>
        </row>
        <row r="77">
          <cell r="B77" t="str">
            <v>IKON</v>
          </cell>
          <cell r="D77" t="str">
            <v/>
          </cell>
          <cell r="E77" t="str">
            <v>$</v>
          </cell>
          <cell r="F77">
            <v>7.39</v>
          </cell>
          <cell r="G77" t="str">
            <v>$m</v>
          </cell>
          <cell r="H77">
            <v>1070.0867799999999</v>
          </cell>
          <cell r="I77">
            <v>685.77722378877195</v>
          </cell>
          <cell r="J77">
            <v>2888.4487799999997</v>
          </cell>
          <cell r="K77">
            <v>1851.0950910023068</v>
          </cell>
          <cell r="L77">
            <v>0.60673668466455377</v>
          </cell>
          <cell r="M77">
            <v>0.63355683217679248</v>
          </cell>
          <cell r="N77">
            <v>0.63526956191497885</v>
          </cell>
          <cell r="O77">
            <v>-2.2715291433452856E-2</v>
          </cell>
          <cell r="P77">
            <v>6.9287759766110142</v>
          </cell>
          <cell r="Q77">
            <v>7.2114740686325076</v>
          </cell>
          <cell r="R77">
            <v>6.7532803428607169</v>
          </cell>
          <cell r="S77">
            <v>1.2910027695054671E-2</v>
          </cell>
          <cell r="T77" t="str">
            <v>nm</v>
          </cell>
          <cell r="U77" t="str">
            <v>nm</v>
          </cell>
          <cell r="V77" t="str">
            <v>nm</v>
          </cell>
          <cell r="W77">
            <v>0</v>
          </cell>
          <cell r="X77">
            <v>9.5602675009922926</v>
          </cell>
          <cell r="Y77">
            <v>9.8897440727929364</v>
          </cell>
          <cell r="Z77">
            <v>9.0395988112858205</v>
          </cell>
          <cell r="AA77">
            <v>2.8396154300884824E-2</v>
          </cell>
          <cell r="AB77">
            <v>7.8835306152272402</v>
          </cell>
          <cell r="AC77">
            <v>7.9441302939270786</v>
          </cell>
          <cell r="AD77">
            <v>7.0095267299356587</v>
          </cell>
          <cell r="AE77">
            <v>6.0513084472867629E-2</v>
          </cell>
        </row>
        <row r="78">
          <cell r="B78" t="str">
            <v>Wipro</v>
          </cell>
          <cell r="D78" t="str">
            <v/>
          </cell>
          <cell r="E78" t="str">
            <v>$</v>
          </cell>
          <cell r="F78">
            <v>19.364039999999999</v>
          </cell>
          <cell r="G78" t="str">
            <v>$m</v>
          </cell>
          <cell r="H78">
            <v>4503.4173266400003</v>
          </cell>
          <cell r="I78">
            <v>2886.0659617021274</v>
          </cell>
          <cell r="J78">
            <v>4217.4173266400003</v>
          </cell>
          <cell r="K78">
            <v>2702.779624865419</v>
          </cell>
          <cell r="L78">
            <v>4.9932119894372189</v>
          </cell>
          <cell r="M78">
            <v>4.0147547088051114</v>
          </cell>
          <cell r="N78">
            <v>3.5073735255202556</v>
          </cell>
          <cell r="O78">
            <v>0.19316084374499964</v>
          </cell>
          <cell r="P78">
            <v>18.819699544270435</v>
          </cell>
          <cell r="Q78">
            <v>16.333881519544345</v>
          </cell>
          <cell r="R78">
            <v>14.501658890730933</v>
          </cell>
          <cell r="S78">
            <v>0.13919350477555881</v>
          </cell>
          <cell r="T78" t="str">
            <v>nm</v>
          </cell>
          <cell r="U78" t="str">
            <v>nm</v>
          </cell>
          <cell r="V78" t="str">
            <v>nm</v>
          </cell>
          <cell r="W78">
            <v>0</v>
          </cell>
          <cell r="X78">
            <v>21.956316134982174</v>
          </cell>
          <cell r="Y78">
            <v>19.382489602412491</v>
          </cell>
          <cell r="Z78">
            <v>17.296226136070594</v>
          </cell>
          <cell r="AA78">
            <v>0.12668901556992185</v>
          </cell>
          <cell r="AB78">
            <v>25.645408563134978</v>
          </cell>
          <cell r="AC78">
            <v>23.606795591182365</v>
          </cell>
          <cell r="AD78">
            <v>21.43729026387625</v>
          </cell>
          <cell r="AE78">
            <v>9.3754535549376961E-2</v>
          </cell>
        </row>
        <row r="79">
          <cell r="B79">
            <v>0</v>
          </cell>
          <cell r="D79" t="str">
            <v/>
          </cell>
          <cell r="E79" t="e">
            <v>#N/A</v>
          </cell>
          <cell r="F79">
            <v>0</v>
          </cell>
          <cell r="G79" t="str">
            <v>m</v>
          </cell>
          <cell r="H79" t="e">
            <v>#N/A</v>
          </cell>
          <cell r="I79" t="e">
            <v>#N/A</v>
          </cell>
          <cell r="J79" t="e">
            <v>#N/A</v>
          </cell>
          <cell r="K79" t="e">
            <v>#N/A</v>
          </cell>
          <cell r="L79" t="e">
            <v>#NUM!</v>
          </cell>
          <cell r="M79" t="e">
            <v>#NUM!</v>
          </cell>
          <cell r="N79" t="e">
            <v>#NUM!</v>
          </cell>
          <cell r="O79" t="e">
            <v>#NUM!</v>
          </cell>
          <cell r="P79" t="e">
            <v>#NUM!</v>
          </cell>
          <cell r="Q79" t="e">
            <v>#NUM!</v>
          </cell>
          <cell r="R79" t="e">
            <v>#NUM!</v>
          </cell>
          <cell r="S79" t="e">
            <v>#NUM!</v>
          </cell>
          <cell r="T79" t="e">
            <v>#NUM!</v>
          </cell>
          <cell r="U79" t="e">
            <v>#NUM!</v>
          </cell>
          <cell r="V79" t="e">
            <v>#NUM!</v>
          </cell>
          <cell r="W79">
            <v>0</v>
          </cell>
          <cell r="X79" t="e">
            <v>#NUM!</v>
          </cell>
          <cell r="Y79" t="e">
            <v>#NUM!</v>
          </cell>
          <cell r="Z79" t="e">
            <v>#NUM!</v>
          </cell>
          <cell r="AA79" t="e">
            <v>#NUM!</v>
          </cell>
          <cell r="AB79" t="e">
            <v>#NUM!</v>
          </cell>
          <cell r="AC79" t="e">
            <v>#NUM!</v>
          </cell>
          <cell r="AD79" t="e">
            <v>#NUM!</v>
          </cell>
          <cell r="AE79" t="e">
            <v>#NUM!</v>
          </cell>
        </row>
        <row r="80">
          <cell r="B80">
            <v>0</v>
          </cell>
          <cell r="D80" t="str">
            <v/>
          </cell>
          <cell r="E80" t="e">
            <v>#N/A</v>
          </cell>
          <cell r="F80">
            <v>0</v>
          </cell>
          <cell r="G80" t="str">
            <v>m</v>
          </cell>
          <cell r="H80" t="e">
            <v>#N/A</v>
          </cell>
          <cell r="I80" t="e">
            <v>#N/A</v>
          </cell>
          <cell r="J80" t="e">
            <v>#N/A</v>
          </cell>
          <cell r="K80" t="e">
            <v>#N/A</v>
          </cell>
          <cell r="L80" t="e">
            <v>#NUM!</v>
          </cell>
          <cell r="M80" t="e">
            <v>#NUM!</v>
          </cell>
          <cell r="N80" t="e">
            <v>#NUM!</v>
          </cell>
          <cell r="O80" t="e">
            <v>#NUM!</v>
          </cell>
          <cell r="P80" t="e">
            <v>#NUM!</v>
          </cell>
          <cell r="Q80" t="e">
            <v>#NUM!</v>
          </cell>
          <cell r="R80" t="e">
            <v>#NUM!</v>
          </cell>
          <cell r="S80" t="e">
            <v>#NUM!</v>
          </cell>
          <cell r="T80" t="e">
            <v>#NUM!</v>
          </cell>
          <cell r="U80" t="e">
            <v>#NUM!</v>
          </cell>
          <cell r="V80" t="e">
            <v>#NUM!</v>
          </cell>
          <cell r="W80">
            <v>0</v>
          </cell>
          <cell r="X80" t="e">
            <v>#NUM!</v>
          </cell>
          <cell r="Y80" t="e">
            <v>#NUM!</v>
          </cell>
          <cell r="Z80" t="e">
            <v>#NUM!</v>
          </cell>
          <cell r="AA80" t="e">
            <v>#NUM!</v>
          </cell>
          <cell r="AB80" t="e">
            <v>#NUM!</v>
          </cell>
          <cell r="AC80" t="e">
            <v>#NUM!</v>
          </cell>
          <cell r="AD80" t="e">
            <v>#NUM!</v>
          </cell>
          <cell r="AE80" t="e">
            <v>#NUM!</v>
          </cell>
        </row>
        <row r="81">
          <cell r="B81">
            <v>0</v>
          </cell>
          <cell r="D81" t="str">
            <v/>
          </cell>
          <cell r="E81" t="e">
            <v>#N/A</v>
          </cell>
          <cell r="F81">
            <v>0</v>
          </cell>
          <cell r="G81" t="str">
            <v>m</v>
          </cell>
          <cell r="H81" t="e">
            <v>#N/A</v>
          </cell>
          <cell r="I81" t="e">
            <v>#N/A</v>
          </cell>
          <cell r="J81" t="e">
            <v>#N/A</v>
          </cell>
          <cell r="K81" t="e">
            <v>#N/A</v>
          </cell>
          <cell r="L81" t="e">
            <v>#NUM!</v>
          </cell>
          <cell r="M81" t="e">
            <v>#NUM!</v>
          </cell>
          <cell r="N81" t="e">
            <v>#NUM!</v>
          </cell>
          <cell r="O81" t="e">
            <v>#NUM!</v>
          </cell>
          <cell r="P81" t="e">
            <v>#NUM!</v>
          </cell>
          <cell r="Q81" t="e">
            <v>#NUM!</v>
          </cell>
          <cell r="R81" t="e">
            <v>#NUM!</v>
          </cell>
          <cell r="S81" t="e">
            <v>#NUM!</v>
          </cell>
          <cell r="T81" t="e">
            <v>#NUM!</v>
          </cell>
          <cell r="U81" t="e">
            <v>#NUM!</v>
          </cell>
          <cell r="V81" t="e">
            <v>#NUM!</v>
          </cell>
          <cell r="W81">
            <v>0</v>
          </cell>
          <cell r="X81" t="e">
            <v>#NUM!</v>
          </cell>
          <cell r="Y81" t="e">
            <v>#NUM!</v>
          </cell>
          <cell r="Z81" t="e">
            <v>#NUM!</v>
          </cell>
          <cell r="AA81" t="e">
            <v>#NUM!</v>
          </cell>
          <cell r="AB81" t="e">
            <v>#NUM!</v>
          </cell>
          <cell r="AC81" t="e">
            <v>#NUM!</v>
          </cell>
          <cell r="AD81" t="e">
            <v>#NUM!</v>
          </cell>
          <cell r="AE81" t="e">
            <v>#NUM!</v>
          </cell>
        </row>
        <row r="82">
          <cell r="B82">
            <v>0</v>
          </cell>
          <cell r="D82" t="str">
            <v/>
          </cell>
          <cell r="E82" t="e">
            <v>#N/A</v>
          </cell>
          <cell r="F82">
            <v>0</v>
          </cell>
          <cell r="G82" t="str">
            <v>m</v>
          </cell>
          <cell r="H82" t="e">
            <v>#N/A</v>
          </cell>
          <cell r="I82" t="e">
            <v>#N/A</v>
          </cell>
          <cell r="J82" t="e">
            <v>#N/A</v>
          </cell>
          <cell r="K82" t="e">
            <v>#N/A</v>
          </cell>
          <cell r="L82" t="e">
            <v>#NUM!</v>
          </cell>
          <cell r="M82" t="e">
            <v>#NUM!</v>
          </cell>
          <cell r="N82" t="e">
            <v>#NUM!</v>
          </cell>
          <cell r="O82" t="e">
            <v>#NUM!</v>
          </cell>
          <cell r="P82" t="e">
            <v>#NUM!</v>
          </cell>
          <cell r="Q82" t="e">
            <v>#NUM!</v>
          </cell>
          <cell r="R82" t="e">
            <v>#NUM!</v>
          </cell>
          <cell r="S82" t="e">
            <v>#NUM!</v>
          </cell>
          <cell r="T82" t="e">
            <v>#NUM!</v>
          </cell>
          <cell r="U82" t="e">
            <v>#NUM!</v>
          </cell>
          <cell r="V82" t="e">
            <v>#NUM!</v>
          </cell>
          <cell r="W82">
            <v>0</v>
          </cell>
          <cell r="X82" t="e">
            <v>#NUM!</v>
          </cell>
          <cell r="Y82" t="e">
            <v>#NUM!</v>
          </cell>
          <cell r="Z82" t="e">
            <v>#NUM!</v>
          </cell>
          <cell r="AA82" t="e">
            <v>#NUM!</v>
          </cell>
          <cell r="AB82" t="e">
            <v>#NUM!</v>
          </cell>
          <cell r="AC82" t="e">
            <v>#NUM!</v>
          </cell>
          <cell r="AD82" t="e">
            <v>#NUM!</v>
          </cell>
          <cell r="AE82" t="e">
            <v>#NUM!</v>
          </cell>
        </row>
        <row r="83">
          <cell r="B83">
            <v>0</v>
          </cell>
          <cell r="D83" t="str">
            <v/>
          </cell>
          <cell r="E83" t="e">
            <v>#N/A</v>
          </cell>
          <cell r="F83">
            <v>0</v>
          </cell>
          <cell r="G83" t="str">
            <v>m</v>
          </cell>
          <cell r="H83" t="e">
            <v>#N/A</v>
          </cell>
          <cell r="I83" t="e">
            <v>#N/A</v>
          </cell>
          <cell r="J83" t="e">
            <v>#N/A</v>
          </cell>
          <cell r="K83" t="e">
            <v>#N/A</v>
          </cell>
          <cell r="L83" t="e">
            <v>#NUM!</v>
          </cell>
          <cell r="M83" t="e">
            <v>#NUM!</v>
          </cell>
          <cell r="N83" t="e">
            <v>#NUM!</v>
          </cell>
          <cell r="O83" t="e">
            <v>#NUM!</v>
          </cell>
          <cell r="P83" t="e">
            <v>#NUM!</v>
          </cell>
          <cell r="Q83" t="e">
            <v>#NUM!</v>
          </cell>
          <cell r="R83" t="e">
            <v>#NUM!</v>
          </cell>
          <cell r="S83" t="e">
            <v>#NUM!</v>
          </cell>
          <cell r="T83" t="e">
            <v>#NUM!</v>
          </cell>
          <cell r="U83" t="e">
            <v>#NUM!</v>
          </cell>
          <cell r="V83" t="e">
            <v>#NUM!</v>
          </cell>
          <cell r="W83">
            <v>0</v>
          </cell>
          <cell r="X83" t="e">
            <v>#NUM!</v>
          </cell>
          <cell r="Y83" t="e">
            <v>#NUM!</v>
          </cell>
          <cell r="Z83" t="e">
            <v>#NUM!</v>
          </cell>
          <cell r="AA83" t="e">
            <v>#NUM!</v>
          </cell>
          <cell r="AB83" t="e">
            <v>#NUM!</v>
          </cell>
          <cell r="AC83" t="e">
            <v>#NUM!</v>
          </cell>
          <cell r="AD83" t="e">
            <v>#NUM!</v>
          </cell>
          <cell r="AE83" t="e">
            <v>#NUM!</v>
          </cell>
        </row>
        <row r="84">
          <cell r="B84">
            <v>0</v>
          </cell>
          <cell r="D84" t="str">
            <v/>
          </cell>
          <cell r="E84" t="e">
            <v>#N/A</v>
          </cell>
          <cell r="F84">
            <v>0</v>
          </cell>
          <cell r="G84" t="str">
            <v>m</v>
          </cell>
          <cell r="H84" t="e">
            <v>#N/A</v>
          </cell>
          <cell r="I84" t="e">
            <v>#N/A</v>
          </cell>
          <cell r="J84" t="e">
            <v>#N/A</v>
          </cell>
          <cell r="K84" t="e">
            <v>#N/A</v>
          </cell>
          <cell r="L84" t="e">
            <v>#NUM!</v>
          </cell>
          <cell r="M84" t="e">
            <v>#NUM!</v>
          </cell>
          <cell r="N84" t="e">
            <v>#NUM!</v>
          </cell>
          <cell r="O84" t="e">
            <v>#NUM!</v>
          </cell>
          <cell r="P84" t="e">
            <v>#NUM!</v>
          </cell>
          <cell r="Q84" t="e">
            <v>#NUM!</v>
          </cell>
          <cell r="R84" t="e">
            <v>#NUM!</v>
          </cell>
          <cell r="S84" t="e">
            <v>#NUM!</v>
          </cell>
          <cell r="T84" t="e">
            <v>#NUM!</v>
          </cell>
          <cell r="U84" t="e">
            <v>#NUM!</v>
          </cell>
          <cell r="V84" t="e">
            <v>#NUM!</v>
          </cell>
          <cell r="W84">
            <v>0</v>
          </cell>
          <cell r="X84" t="e">
            <v>#NUM!</v>
          </cell>
          <cell r="Y84" t="e">
            <v>#NUM!</v>
          </cell>
          <cell r="Z84" t="e">
            <v>#NUM!</v>
          </cell>
          <cell r="AA84" t="e">
            <v>#NUM!</v>
          </cell>
          <cell r="AB84" t="e">
            <v>#NUM!</v>
          </cell>
          <cell r="AC84" t="e">
            <v>#NUM!</v>
          </cell>
          <cell r="AD84" t="e">
            <v>#NUM!</v>
          </cell>
          <cell r="AE84" t="e">
            <v>#NUM!</v>
          </cell>
        </row>
        <row r="85">
          <cell r="B85">
            <v>0</v>
          </cell>
          <cell r="D85" t="str">
            <v/>
          </cell>
          <cell r="E85" t="e">
            <v>#N/A</v>
          </cell>
          <cell r="F85">
            <v>0</v>
          </cell>
          <cell r="G85" t="str">
            <v>m</v>
          </cell>
          <cell r="H85" t="e">
            <v>#N/A</v>
          </cell>
          <cell r="I85" t="e">
            <v>#N/A</v>
          </cell>
          <cell r="J85" t="e">
            <v>#N/A</v>
          </cell>
          <cell r="K85" t="e">
            <v>#N/A</v>
          </cell>
          <cell r="L85" t="e">
            <v>#NUM!</v>
          </cell>
          <cell r="M85" t="e">
            <v>#NUM!</v>
          </cell>
          <cell r="N85" t="e">
            <v>#NUM!</v>
          </cell>
          <cell r="O85" t="e">
            <v>#NUM!</v>
          </cell>
          <cell r="P85" t="e">
            <v>#NUM!</v>
          </cell>
          <cell r="Q85" t="e">
            <v>#NUM!</v>
          </cell>
          <cell r="R85" t="e">
            <v>#NUM!</v>
          </cell>
          <cell r="S85" t="e">
            <v>#NUM!</v>
          </cell>
          <cell r="T85" t="e">
            <v>#NUM!</v>
          </cell>
          <cell r="U85" t="e">
            <v>#NUM!</v>
          </cell>
          <cell r="V85" t="e">
            <v>#NUM!</v>
          </cell>
          <cell r="W85">
            <v>0</v>
          </cell>
          <cell r="X85" t="e">
            <v>#NUM!</v>
          </cell>
          <cell r="Y85" t="e">
            <v>#NUM!</v>
          </cell>
          <cell r="Z85" t="e">
            <v>#NUM!</v>
          </cell>
          <cell r="AA85" t="e">
            <v>#NUM!</v>
          </cell>
          <cell r="AB85" t="e">
            <v>#NUM!</v>
          </cell>
          <cell r="AC85" t="e">
            <v>#NUM!</v>
          </cell>
          <cell r="AD85" t="e">
            <v>#NUM!</v>
          </cell>
          <cell r="AE85" t="e">
            <v>#NUM!</v>
          </cell>
        </row>
        <row r="86">
          <cell r="B86">
            <v>0</v>
          </cell>
          <cell r="D86" t="str">
            <v/>
          </cell>
          <cell r="E86" t="e">
            <v>#N/A</v>
          </cell>
          <cell r="F86">
            <v>0</v>
          </cell>
          <cell r="G86" t="str">
            <v>m</v>
          </cell>
          <cell r="H86" t="e">
            <v>#N/A</v>
          </cell>
          <cell r="I86" t="e">
            <v>#N/A</v>
          </cell>
          <cell r="J86" t="e">
            <v>#N/A</v>
          </cell>
          <cell r="K86" t="e">
            <v>#N/A</v>
          </cell>
          <cell r="L86" t="e">
            <v>#NUM!</v>
          </cell>
          <cell r="M86" t="e">
            <v>#NUM!</v>
          </cell>
          <cell r="N86" t="e">
            <v>#NUM!</v>
          </cell>
          <cell r="O86" t="e">
            <v>#NUM!</v>
          </cell>
          <cell r="P86" t="e">
            <v>#NUM!</v>
          </cell>
          <cell r="Q86" t="e">
            <v>#NUM!</v>
          </cell>
          <cell r="R86" t="e">
            <v>#NUM!</v>
          </cell>
          <cell r="S86" t="e">
            <v>#NUM!</v>
          </cell>
          <cell r="T86" t="e">
            <v>#NUM!</v>
          </cell>
          <cell r="U86" t="e">
            <v>#NUM!</v>
          </cell>
          <cell r="V86" t="e">
            <v>#NUM!</v>
          </cell>
          <cell r="W86">
            <v>0</v>
          </cell>
          <cell r="X86" t="e">
            <v>#NUM!</v>
          </cell>
          <cell r="Y86" t="e">
            <v>#NUM!</v>
          </cell>
          <cell r="Z86" t="e">
            <v>#NUM!</v>
          </cell>
          <cell r="AA86" t="e">
            <v>#NUM!</v>
          </cell>
          <cell r="AB86" t="e">
            <v>#NUM!</v>
          </cell>
          <cell r="AC86" t="e">
            <v>#NUM!</v>
          </cell>
          <cell r="AD86" t="e">
            <v>#NUM!</v>
          </cell>
          <cell r="AE86" t="e">
            <v>#NUM!</v>
          </cell>
        </row>
        <row r="87">
          <cell r="B87">
            <v>0</v>
          </cell>
          <cell r="D87" t="str">
            <v/>
          </cell>
          <cell r="E87" t="e">
            <v>#N/A</v>
          </cell>
          <cell r="F87">
            <v>0</v>
          </cell>
          <cell r="G87" t="str">
            <v>m</v>
          </cell>
          <cell r="H87" t="e">
            <v>#N/A</v>
          </cell>
          <cell r="I87" t="e">
            <v>#N/A</v>
          </cell>
          <cell r="J87" t="e">
            <v>#N/A</v>
          </cell>
          <cell r="K87" t="e">
            <v>#N/A</v>
          </cell>
          <cell r="L87" t="e">
            <v>#NUM!</v>
          </cell>
          <cell r="M87" t="e">
            <v>#NUM!</v>
          </cell>
          <cell r="N87" t="e">
            <v>#NUM!</v>
          </cell>
          <cell r="O87" t="e">
            <v>#NUM!</v>
          </cell>
          <cell r="P87" t="e">
            <v>#NUM!</v>
          </cell>
          <cell r="Q87" t="e">
            <v>#NUM!</v>
          </cell>
          <cell r="R87" t="e">
            <v>#NUM!</v>
          </cell>
          <cell r="S87" t="e">
            <v>#NUM!</v>
          </cell>
          <cell r="T87" t="e">
            <v>#NUM!</v>
          </cell>
          <cell r="U87" t="e">
            <v>#NUM!</v>
          </cell>
          <cell r="V87" t="e">
            <v>#NUM!</v>
          </cell>
          <cell r="W87">
            <v>0</v>
          </cell>
          <cell r="X87" t="e">
            <v>#NUM!</v>
          </cell>
          <cell r="Y87" t="e">
            <v>#NUM!</v>
          </cell>
          <cell r="Z87" t="e">
            <v>#NUM!</v>
          </cell>
          <cell r="AA87" t="e">
            <v>#NUM!</v>
          </cell>
          <cell r="AB87" t="e">
            <v>#NUM!</v>
          </cell>
          <cell r="AC87" t="e">
            <v>#NUM!</v>
          </cell>
          <cell r="AD87" t="e">
            <v>#NUM!</v>
          </cell>
          <cell r="AE87" t="e">
            <v>#NUM!</v>
          </cell>
        </row>
        <row r="88">
          <cell r="B88">
            <v>0</v>
          </cell>
          <cell r="D88" t="str">
            <v/>
          </cell>
          <cell r="E88" t="e">
            <v>#N/A</v>
          </cell>
          <cell r="F88">
            <v>0</v>
          </cell>
          <cell r="G88" t="str">
            <v>m</v>
          </cell>
          <cell r="H88" t="e">
            <v>#N/A</v>
          </cell>
          <cell r="I88" t="e">
            <v>#N/A</v>
          </cell>
          <cell r="J88" t="e">
            <v>#N/A</v>
          </cell>
          <cell r="K88" t="e">
            <v>#N/A</v>
          </cell>
          <cell r="L88" t="e">
            <v>#NUM!</v>
          </cell>
          <cell r="M88" t="e">
            <v>#NUM!</v>
          </cell>
          <cell r="N88" t="e">
            <v>#NUM!</v>
          </cell>
          <cell r="O88" t="e">
            <v>#NUM!</v>
          </cell>
          <cell r="P88" t="e">
            <v>#NUM!</v>
          </cell>
          <cell r="Q88" t="e">
            <v>#NUM!</v>
          </cell>
          <cell r="R88" t="e">
            <v>#NUM!</v>
          </cell>
          <cell r="S88" t="e">
            <v>#NUM!</v>
          </cell>
          <cell r="T88" t="e">
            <v>#NUM!</v>
          </cell>
          <cell r="U88" t="e">
            <v>#NUM!</v>
          </cell>
          <cell r="V88" t="e">
            <v>#NUM!</v>
          </cell>
          <cell r="W88">
            <v>0</v>
          </cell>
          <cell r="X88" t="e">
            <v>#NUM!</v>
          </cell>
          <cell r="Y88" t="e">
            <v>#NUM!</v>
          </cell>
          <cell r="Z88" t="e">
            <v>#NUM!</v>
          </cell>
          <cell r="AA88" t="e">
            <v>#NUM!</v>
          </cell>
          <cell r="AB88" t="e">
            <v>#NUM!</v>
          </cell>
          <cell r="AC88" t="e">
            <v>#NUM!</v>
          </cell>
          <cell r="AD88" t="e">
            <v>#NUM!</v>
          </cell>
          <cell r="AE88" t="e">
            <v>#NUM!</v>
          </cell>
        </row>
        <row r="89">
          <cell r="B89">
            <v>0</v>
          </cell>
          <cell r="D89" t="str">
            <v/>
          </cell>
          <cell r="E89" t="e">
            <v>#N/A</v>
          </cell>
          <cell r="F89">
            <v>0</v>
          </cell>
          <cell r="G89" t="str">
            <v>m</v>
          </cell>
          <cell r="H89" t="e">
            <v>#N/A</v>
          </cell>
          <cell r="I89" t="e">
            <v>#N/A</v>
          </cell>
          <cell r="J89" t="e">
            <v>#N/A</v>
          </cell>
          <cell r="K89" t="e">
            <v>#N/A</v>
          </cell>
          <cell r="L89" t="e">
            <v>#NUM!</v>
          </cell>
          <cell r="M89" t="e">
            <v>#NUM!</v>
          </cell>
          <cell r="N89" t="e">
            <v>#NUM!</v>
          </cell>
          <cell r="O89" t="e">
            <v>#NUM!</v>
          </cell>
          <cell r="P89" t="e">
            <v>#NUM!</v>
          </cell>
          <cell r="Q89" t="e">
            <v>#NUM!</v>
          </cell>
          <cell r="R89" t="e">
            <v>#NUM!</v>
          </cell>
          <cell r="S89" t="e">
            <v>#NUM!</v>
          </cell>
          <cell r="T89" t="e">
            <v>#NUM!</v>
          </cell>
          <cell r="U89" t="e">
            <v>#NUM!</v>
          </cell>
          <cell r="V89" t="e">
            <v>#NUM!</v>
          </cell>
          <cell r="W89">
            <v>0</v>
          </cell>
          <cell r="X89" t="e">
            <v>#NUM!</v>
          </cell>
          <cell r="Y89" t="e">
            <v>#NUM!</v>
          </cell>
          <cell r="Z89" t="e">
            <v>#NUM!</v>
          </cell>
          <cell r="AA89" t="e">
            <v>#NUM!</v>
          </cell>
          <cell r="AB89" t="e">
            <v>#NUM!</v>
          </cell>
          <cell r="AC89" t="e">
            <v>#NUM!</v>
          </cell>
          <cell r="AD89" t="e">
            <v>#NUM!</v>
          </cell>
          <cell r="AE89" t="e">
            <v>#NUM!</v>
          </cell>
        </row>
        <row r="90">
          <cell r="B90">
            <v>0</v>
          </cell>
          <cell r="D90" t="str">
            <v/>
          </cell>
          <cell r="E90" t="e">
            <v>#N/A</v>
          </cell>
          <cell r="F90">
            <v>0</v>
          </cell>
          <cell r="G90" t="str">
            <v>m</v>
          </cell>
          <cell r="H90" t="e">
            <v>#N/A</v>
          </cell>
          <cell r="I90" t="e">
            <v>#N/A</v>
          </cell>
          <cell r="J90" t="e">
            <v>#N/A</v>
          </cell>
          <cell r="K90" t="e">
            <v>#N/A</v>
          </cell>
          <cell r="L90" t="e">
            <v>#NUM!</v>
          </cell>
          <cell r="M90" t="e">
            <v>#NUM!</v>
          </cell>
          <cell r="N90" t="e">
            <v>#NUM!</v>
          </cell>
          <cell r="O90" t="e">
            <v>#NUM!</v>
          </cell>
          <cell r="P90" t="e">
            <v>#NUM!</v>
          </cell>
          <cell r="Q90" t="e">
            <v>#NUM!</v>
          </cell>
          <cell r="R90" t="e">
            <v>#NUM!</v>
          </cell>
          <cell r="S90" t="e">
            <v>#NUM!</v>
          </cell>
          <cell r="T90" t="e">
            <v>#NUM!</v>
          </cell>
          <cell r="U90" t="e">
            <v>#NUM!</v>
          </cell>
          <cell r="V90" t="e">
            <v>#NUM!</v>
          </cell>
          <cell r="W90">
            <v>0</v>
          </cell>
          <cell r="X90" t="e">
            <v>#NUM!</v>
          </cell>
          <cell r="Y90" t="e">
            <v>#NUM!</v>
          </cell>
          <cell r="Z90" t="e">
            <v>#NUM!</v>
          </cell>
          <cell r="AA90" t="e">
            <v>#NUM!</v>
          </cell>
          <cell r="AB90" t="e">
            <v>#NUM!</v>
          </cell>
          <cell r="AC90" t="e">
            <v>#NUM!</v>
          </cell>
          <cell r="AD90" t="e">
            <v>#NUM!</v>
          </cell>
          <cell r="AE90" t="e">
            <v>#NUM!</v>
          </cell>
        </row>
        <row r="91">
          <cell r="B91">
            <v>0</v>
          </cell>
          <cell r="D91" t="str">
            <v/>
          </cell>
          <cell r="E91" t="e">
            <v>#N/A</v>
          </cell>
          <cell r="F91">
            <v>0</v>
          </cell>
          <cell r="G91" t="str">
            <v>m</v>
          </cell>
          <cell r="H91" t="e">
            <v>#N/A</v>
          </cell>
          <cell r="I91" t="e">
            <v>#N/A</v>
          </cell>
          <cell r="J91" t="e">
            <v>#N/A</v>
          </cell>
          <cell r="K91" t="e">
            <v>#N/A</v>
          </cell>
          <cell r="L91" t="e">
            <v>#NUM!</v>
          </cell>
          <cell r="M91" t="e">
            <v>#NUM!</v>
          </cell>
          <cell r="N91" t="e">
            <v>#NUM!</v>
          </cell>
          <cell r="O91" t="e">
            <v>#NUM!</v>
          </cell>
          <cell r="P91" t="e">
            <v>#NUM!</v>
          </cell>
          <cell r="Q91" t="e">
            <v>#NUM!</v>
          </cell>
          <cell r="R91" t="e">
            <v>#NUM!</v>
          </cell>
          <cell r="S91" t="e">
            <v>#NUM!</v>
          </cell>
          <cell r="T91" t="e">
            <v>#NUM!</v>
          </cell>
          <cell r="U91" t="e">
            <v>#NUM!</v>
          </cell>
          <cell r="V91" t="e">
            <v>#NUM!</v>
          </cell>
          <cell r="W91">
            <v>0</v>
          </cell>
          <cell r="X91" t="e">
            <v>#NUM!</v>
          </cell>
          <cell r="Y91" t="e">
            <v>#NUM!</v>
          </cell>
          <cell r="Z91" t="e">
            <v>#NUM!</v>
          </cell>
          <cell r="AA91" t="e">
            <v>#NUM!</v>
          </cell>
          <cell r="AB91" t="e">
            <v>#NUM!</v>
          </cell>
          <cell r="AC91" t="e">
            <v>#NUM!</v>
          </cell>
          <cell r="AD91" t="e">
            <v>#NUM!</v>
          </cell>
          <cell r="AE91" t="e">
            <v>#NUM!</v>
          </cell>
        </row>
        <row r="92">
          <cell r="B92">
            <v>0</v>
          </cell>
          <cell r="D92" t="str">
            <v/>
          </cell>
          <cell r="E92" t="e">
            <v>#N/A</v>
          </cell>
          <cell r="F92">
            <v>0</v>
          </cell>
          <cell r="G92" t="str">
            <v>m</v>
          </cell>
          <cell r="H92" t="e">
            <v>#N/A</v>
          </cell>
          <cell r="I92" t="e">
            <v>#N/A</v>
          </cell>
          <cell r="J92" t="e">
            <v>#N/A</v>
          </cell>
          <cell r="K92" t="e">
            <v>#N/A</v>
          </cell>
          <cell r="L92" t="e">
            <v>#NUM!</v>
          </cell>
          <cell r="M92" t="e">
            <v>#NUM!</v>
          </cell>
          <cell r="N92" t="e">
            <v>#NUM!</v>
          </cell>
          <cell r="O92" t="e">
            <v>#NUM!</v>
          </cell>
          <cell r="P92" t="e">
            <v>#NUM!</v>
          </cell>
          <cell r="Q92" t="e">
            <v>#NUM!</v>
          </cell>
          <cell r="R92" t="e">
            <v>#NUM!</v>
          </cell>
          <cell r="S92" t="e">
            <v>#NUM!</v>
          </cell>
          <cell r="T92" t="e">
            <v>#NUM!</v>
          </cell>
          <cell r="U92" t="e">
            <v>#NUM!</v>
          </cell>
          <cell r="V92" t="e">
            <v>#NUM!</v>
          </cell>
          <cell r="W92">
            <v>0</v>
          </cell>
          <cell r="X92" t="e">
            <v>#NUM!</v>
          </cell>
          <cell r="Y92" t="e">
            <v>#NUM!</v>
          </cell>
          <cell r="Z92" t="e">
            <v>#NUM!</v>
          </cell>
          <cell r="AA92" t="e">
            <v>#NUM!</v>
          </cell>
          <cell r="AB92" t="e">
            <v>#NUM!</v>
          </cell>
          <cell r="AC92" t="e">
            <v>#NUM!</v>
          </cell>
          <cell r="AD92" t="e">
            <v>#NUM!</v>
          </cell>
          <cell r="AE92" t="e">
            <v>#NUM!</v>
          </cell>
        </row>
        <row r="93">
          <cell r="B93">
            <v>0</v>
          </cell>
          <cell r="D93" t="str">
            <v/>
          </cell>
          <cell r="E93" t="e">
            <v>#N/A</v>
          </cell>
          <cell r="F93">
            <v>0</v>
          </cell>
          <cell r="G93" t="str">
            <v>m</v>
          </cell>
          <cell r="H93" t="e">
            <v>#N/A</v>
          </cell>
          <cell r="I93" t="e">
            <v>#N/A</v>
          </cell>
          <cell r="J93" t="e">
            <v>#N/A</v>
          </cell>
          <cell r="K93" t="e">
            <v>#N/A</v>
          </cell>
          <cell r="L93" t="e">
            <v>#NUM!</v>
          </cell>
          <cell r="M93" t="e">
            <v>#NUM!</v>
          </cell>
          <cell r="N93" t="e">
            <v>#NUM!</v>
          </cell>
          <cell r="O93" t="e">
            <v>#NUM!</v>
          </cell>
          <cell r="P93" t="e">
            <v>#NUM!</v>
          </cell>
          <cell r="Q93" t="e">
            <v>#NUM!</v>
          </cell>
          <cell r="R93" t="e">
            <v>#NUM!</v>
          </cell>
          <cell r="S93" t="e">
            <v>#NUM!</v>
          </cell>
          <cell r="T93" t="e">
            <v>#NUM!</v>
          </cell>
          <cell r="U93" t="e">
            <v>#NUM!</v>
          </cell>
          <cell r="V93" t="e">
            <v>#NUM!</v>
          </cell>
          <cell r="W93">
            <v>0</v>
          </cell>
          <cell r="X93" t="e">
            <v>#NUM!</v>
          </cell>
          <cell r="Y93" t="e">
            <v>#NUM!</v>
          </cell>
          <cell r="Z93" t="e">
            <v>#NUM!</v>
          </cell>
          <cell r="AA93" t="e">
            <v>#NUM!</v>
          </cell>
          <cell r="AB93" t="e">
            <v>#NUM!</v>
          </cell>
          <cell r="AC93" t="e">
            <v>#NUM!</v>
          </cell>
          <cell r="AD93" t="e">
            <v>#NUM!</v>
          </cell>
          <cell r="AE93" t="e">
            <v>#NUM!</v>
          </cell>
        </row>
        <row r="94">
          <cell r="B94">
            <v>0</v>
          </cell>
          <cell r="D94" t="str">
            <v/>
          </cell>
          <cell r="E94" t="e">
            <v>#N/A</v>
          </cell>
          <cell r="F94">
            <v>0</v>
          </cell>
          <cell r="G94" t="str">
            <v>m</v>
          </cell>
          <cell r="H94" t="e">
            <v>#N/A</v>
          </cell>
          <cell r="I94" t="e">
            <v>#N/A</v>
          </cell>
          <cell r="J94" t="e">
            <v>#N/A</v>
          </cell>
          <cell r="K94" t="e">
            <v>#N/A</v>
          </cell>
          <cell r="L94" t="e">
            <v>#NUM!</v>
          </cell>
          <cell r="M94" t="e">
            <v>#NUM!</v>
          </cell>
          <cell r="N94" t="e">
            <v>#NUM!</v>
          </cell>
          <cell r="O94" t="e">
            <v>#NUM!</v>
          </cell>
          <cell r="P94" t="e">
            <v>#NUM!</v>
          </cell>
          <cell r="Q94" t="e">
            <v>#NUM!</v>
          </cell>
          <cell r="R94" t="e">
            <v>#NUM!</v>
          </cell>
          <cell r="S94" t="e">
            <v>#NUM!</v>
          </cell>
          <cell r="T94" t="e">
            <v>#NUM!</v>
          </cell>
          <cell r="U94" t="e">
            <v>#NUM!</v>
          </cell>
          <cell r="V94" t="e">
            <v>#NUM!</v>
          </cell>
          <cell r="W94">
            <v>0</v>
          </cell>
          <cell r="X94" t="e">
            <v>#NUM!</v>
          </cell>
          <cell r="Y94" t="e">
            <v>#NUM!</v>
          </cell>
          <cell r="Z94" t="e">
            <v>#NUM!</v>
          </cell>
          <cell r="AA94" t="e">
            <v>#NUM!</v>
          </cell>
          <cell r="AB94" t="e">
            <v>#NUM!</v>
          </cell>
          <cell r="AC94" t="e">
            <v>#NUM!</v>
          </cell>
          <cell r="AD94" t="e">
            <v>#NUM!</v>
          </cell>
          <cell r="AE94" t="e">
            <v>#NUM!</v>
          </cell>
        </row>
        <row r="95">
          <cell r="B95">
            <v>0</v>
          </cell>
          <cell r="D95" t="str">
            <v/>
          </cell>
          <cell r="E95" t="e">
            <v>#N/A</v>
          </cell>
          <cell r="F95">
            <v>0</v>
          </cell>
          <cell r="G95" t="str">
            <v>m</v>
          </cell>
          <cell r="H95" t="e">
            <v>#N/A</v>
          </cell>
          <cell r="I95" t="e">
            <v>#N/A</v>
          </cell>
          <cell r="J95" t="e">
            <v>#N/A</v>
          </cell>
          <cell r="K95" t="e">
            <v>#N/A</v>
          </cell>
          <cell r="L95" t="e">
            <v>#NUM!</v>
          </cell>
          <cell r="M95" t="e">
            <v>#NUM!</v>
          </cell>
          <cell r="N95" t="e">
            <v>#NUM!</v>
          </cell>
          <cell r="O95" t="e">
            <v>#NUM!</v>
          </cell>
          <cell r="P95" t="e">
            <v>#NUM!</v>
          </cell>
          <cell r="Q95" t="e">
            <v>#NUM!</v>
          </cell>
          <cell r="R95" t="e">
            <v>#NUM!</v>
          </cell>
          <cell r="S95" t="e">
            <v>#NUM!</v>
          </cell>
          <cell r="T95" t="e">
            <v>#NUM!</v>
          </cell>
          <cell r="U95" t="e">
            <v>#NUM!</v>
          </cell>
          <cell r="V95" t="e">
            <v>#NUM!</v>
          </cell>
          <cell r="W95">
            <v>0</v>
          </cell>
          <cell r="X95" t="e">
            <v>#NUM!</v>
          </cell>
          <cell r="Y95" t="e">
            <v>#NUM!</v>
          </cell>
          <cell r="Z95" t="e">
            <v>#NUM!</v>
          </cell>
          <cell r="AA95" t="e">
            <v>#NUM!</v>
          </cell>
          <cell r="AB95" t="e">
            <v>#NUM!</v>
          </cell>
          <cell r="AC95" t="e">
            <v>#NUM!</v>
          </cell>
          <cell r="AD95" t="e">
            <v>#NUM!</v>
          </cell>
          <cell r="AE95" t="e">
            <v>#NUM!</v>
          </cell>
        </row>
        <row r="96">
          <cell r="B96">
            <v>0</v>
          </cell>
          <cell r="D96" t="str">
            <v/>
          </cell>
          <cell r="E96" t="e">
            <v>#N/A</v>
          </cell>
          <cell r="F96">
            <v>0</v>
          </cell>
          <cell r="G96" t="str">
            <v>m</v>
          </cell>
          <cell r="H96" t="e">
            <v>#N/A</v>
          </cell>
          <cell r="I96" t="e">
            <v>#N/A</v>
          </cell>
          <cell r="J96" t="e">
            <v>#N/A</v>
          </cell>
          <cell r="K96" t="e">
            <v>#N/A</v>
          </cell>
          <cell r="L96" t="e">
            <v>#NUM!</v>
          </cell>
          <cell r="M96" t="e">
            <v>#NUM!</v>
          </cell>
          <cell r="N96" t="e">
            <v>#NUM!</v>
          </cell>
          <cell r="O96" t="e">
            <v>#NUM!</v>
          </cell>
          <cell r="P96" t="e">
            <v>#NUM!</v>
          </cell>
          <cell r="Q96" t="e">
            <v>#NUM!</v>
          </cell>
          <cell r="R96" t="e">
            <v>#NUM!</v>
          </cell>
          <cell r="S96" t="e">
            <v>#NUM!</v>
          </cell>
          <cell r="T96" t="e">
            <v>#NUM!</v>
          </cell>
          <cell r="U96" t="e">
            <v>#NUM!</v>
          </cell>
          <cell r="V96" t="e">
            <v>#NUM!</v>
          </cell>
          <cell r="W96">
            <v>0</v>
          </cell>
          <cell r="X96" t="e">
            <v>#NUM!</v>
          </cell>
          <cell r="Y96" t="e">
            <v>#NUM!</v>
          </cell>
          <cell r="Z96" t="e">
            <v>#NUM!</v>
          </cell>
          <cell r="AA96" t="e">
            <v>#NUM!</v>
          </cell>
          <cell r="AB96" t="e">
            <v>#NUM!</v>
          </cell>
          <cell r="AC96" t="e">
            <v>#NUM!</v>
          </cell>
          <cell r="AD96" t="e">
            <v>#NUM!</v>
          </cell>
          <cell r="AE96" t="e">
            <v>#NUM!</v>
          </cell>
        </row>
        <row r="97">
          <cell r="B97">
            <v>0</v>
          </cell>
          <cell r="D97" t="str">
            <v/>
          </cell>
          <cell r="E97" t="e">
            <v>#N/A</v>
          </cell>
          <cell r="F97">
            <v>0</v>
          </cell>
          <cell r="G97" t="str">
            <v>m</v>
          </cell>
          <cell r="H97" t="e">
            <v>#N/A</v>
          </cell>
          <cell r="I97" t="e">
            <v>#N/A</v>
          </cell>
          <cell r="J97" t="e">
            <v>#N/A</v>
          </cell>
          <cell r="K97" t="e">
            <v>#N/A</v>
          </cell>
          <cell r="L97" t="e">
            <v>#NUM!</v>
          </cell>
          <cell r="M97" t="e">
            <v>#NUM!</v>
          </cell>
          <cell r="N97" t="e">
            <v>#NUM!</v>
          </cell>
          <cell r="O97" t="e">
            <v>#NUM!</v>
          </cell>
          <cell r="P97" t="e">
            <v>#NUM!</v>
          </cell>
          <cell r="Q97" t="e">
            <v>#NUM!</v>
          </cell>
          <cell r="R97" t="e">
            <v>#NUM!</v>
          </cell>
          <cell r="S97" t="e">
            <v>#NUM!</v>
          </cell>
          <cell r="T97" t="e">
            <v>#NUM!</v>
          </cell>
          <cell r="U97" t="e">
            <v>#NUM!</v>
          </cell>
          <cell r="V97" t="e">
            <v>#NUM!</v>
          </cell>
          <cell r="W97">
            <v>0</v>
          </cell>
          <cell r="X97" t="e">
            <v>#NUM!</v>
          </cell>
          <cell r="Y97" t="e">
            <v>#NUM!</v>
          </cell>
          <cell r="Z97" t="e">
            <v>#NUM!</v>
          </cell>
          <cell r="AA97" t="e">
            <v>#NUM!</v>
          </cell>
          <cell r="AB97" t="e">
            <v>#NUM!</v>
          </cell>
          <cell r="AC97" t="e">
            <v>#NUM!</v>
          </cell>
          <cell r="AD97" t="e">
            <v>#NUM!</v>
          </cell>
          <cell r="AE97" t="e">
            <v>#NUM!</v>
          </cell>
        </row>
        <row r="98">
          <cell r="B98">
            <v>0</v>
          </cell>
          <cell r="D98" t="str">
            <v/>
          </cell>
          <cell r="E98" t="e">
            <v>#N/A</v>
          </cell>
          <cell r="F98">
            <v>0</v>
          </cell>
          <cell r="G98" t="str">
            <v>m</v>
          </cell>
          <cell r="H98" t="e">
            <v>#N/A</v>
          </cell>
          <cell r="I98" t="e">
            <v>#N/A</v>
          </cell>
          <cell r="J98" t="e">
            <v>#N/A</v>
          </cell>
          <cell r="K98" t="e">
            <v>#N/A</v>
          </cell>
          <cell r="L98" t="e">
            <v>#NUM!</v>
          </cell>
          <cell r="M98" t="e">
            <v>#NUM!</v>
          </cell>
          <cell r="N98" t="e">
            <v>#NUM!</v>
          </cell>
          <cell r="O98" t="e">
            <v>#NUM!</v>
          </cell>
          <cell r="P98" t="e">
            <v>#NUM!</v>
          </cell>
          <cell r="Q98" t="e">
            <v>#NUM!</v>
          </cell>
          <cell r="R98" t="e">
            <v>#NUM!</v>
          </cell>
          <cell r="S98" t="e">
            <v>#NUM!</v>
          </cell>
          <cell r="T98" t="e">
            <v>#NUM!</v>
          </cell>
          <cell r="U98" t="e">
            <v>#NUM!</v>
          </cell>
          <cell r="V98" t="e">
            <v>#NUM!</v>
          </cell>
          <cell r="W98">
            <v>0</v>
          </cell>
          <cell r="X98" t="e">
            <v>#NUM!</v>
          </cell>
          <cell r="Y98" t="e">
            <v>#NUM!</v>
          </cell>
          <cell r="Z98" t="e">
            <v>#NUM!</v>
          </cell>
          <cell r="AA98" t="e">
            <v>#NUM!</v>
          </cell>
          <cell r="AB98" t="e">
            <v>#NUM!</v>
          </cell>
          <cell r="AC98" t="e">
            <v>#NUM!</v>
          </cell>
          <cell r="AD98" t="e">
            <v>#NUM!</v>
          </cell>
          <cell r="AE98" t="e">
            <v>#NUM!</v>
          </cell>
        </row>
        <row r="99">
          <cell r="B99">
            <v>0</v>
          </cell>
          <cell r="D99" t="str">
            <v/>
          </cell>
          <cell r="E99" t="e">
            <v>#N/A</v>
          </cell>
          <cell r="F99">
            <v>0</v>
          </cell>
          <cell r="G99" t="str">
            <v>m</v>
          </cell>
          <cell r="H99" t="e">
            <v>#N/A</v>
          </cell>
          <cell r="I99" t="e">
            <v>#N/A</v>
          </cell>
          <cell r="J99" t="e">
            <v>#N/A</v>
          </cell>
          <cell r="K99" t="e">
            <v>#N/A</v>
          </cell>
          <cell r="L99" t="e">
            <v>#NUM!</v>
          </cell>
          <cell r="M99" t="e">
            <v>#NUM!</v>
          </cell>
          <cell r="N99" t="e">
            <v>#NUM!</v>
          </cell>
          <cell r="O99" t="e">
            <v>#NUM!</v>
          </cell>
          <cell r="P99" t="e">
            <v>#NUM!</v>
          </cell>
          <cell r="Q99" t="e">
            <v>#NUM!</v>
          </cell>
          <cell r="R99" t="e">
            <v>#NUM!</v>
          </cell>
          <cell r="S99" t="e">
            <v>#NUM!</v>
          </cell>
          <cell r="T99" t="e">
            <v>#NUM!</v>
          </cell>
          <cell r="U99" t="e">
            <v>#NUM!</v>
          </cell>
          <cell r="V99" t="e">
            <v>#NUM!</v>
          </cell>
          <cell r="W99">
            <v>0</v>
          </cell>
          <cell r="X99" t="e">
            <v>#NUM!</v>
          </cell>
          <cell r="Y99" t="e">
            <v>#NUM!</v>
          </cell>
          <cell r="Z99" t="e">
            <v>#NUM!</v>
          </cell>
          <cell r="AA99" t="e">
            <v>#NUM!</v>
          </cell>
          <cell r="AB99" t="e">
            <v>#NUM!</v>
          </cell>
          <cell r="AC99" t="e">
            <v>#NUM!</v>
          </cell>
          <cell r="AD99" t="e">
            <v>#NUM!</v>
          </cell>
          <cell r="AE99" t="e">
            <v>#NUM!</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In)"/>
      <sheetName val="Workings"/>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 v growth"/>
      <sheetName val="Control"/>
      <sheetName val="Inputs"/>
      <sheetName val="Calc"/>
      <sheetName val="Ass"/>
      <sheetName val="Comps trading"/>
      <sheetName val="comp trans"/>
      <sheetName val="Wacc"/>
    </sheetNames>
    <sheetDataSet>
      <sheetData sheetId="0" refreshError="1"/>
      <sheetData sheetId="1">
        <row r="4">
          <cell r="A4">
            <v>54</v>
          </cell>
          <cell r="I4">
            <v>0.39999999999999997</v>
          </cell>
          <cell r="J4">
            <v>2.5000000000000001E-2</v>
          </cell>
        </row>
      </sheetData>
      <sheetData sheetId="2">
        <row r="80">
          <cell r="B80" t="str">
            <v>Tax rate</v>
          </cell>
          <cell r="L80">
            <v>0.3</v>
          </cell>
          <cell r="M80">
            <v>0.3</v>
          </cell>
          <cell r="N80">
            <v>0.3</v>
          </cell>
          <cell r="O80">
            <v>0.3</v>
          </cell>
          <cell r="P80">
            <v>0.3</v>
          </cell>
        </row>
      </sheetData>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puts"/>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__FDSCACHE__"/>
      <sheetName val="Input"/>
      <sheetName val="Workings"/>
      <sheetName val="Multiples"/>
    </sheetNames>
    <sheetDataSet>
      <sheetData sheetId="0">
        <row r="4">
          <cell r="C4">
            <v>37294</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y Out Overview"/>
      <sheetName val="1.P&amp;L"/>
      <sheetName val="2.BS"/>
      <sheetName val="3.CF"/>
      <sheetName val="4.Debt"/>
      <sheetName val="5.TAX"/>
      <sheetName val="6.INTERESTS ,DEP &amp; AMORT"/>
    </sheetNames>
    <sheetDataSet>
      <sheetData sheetId="0" refreshError="1">
        <row r="8">
          <cell r="B8">
            <v>55000</v>
          </cell>
        </row>
        <row r="24">
          <cell r="B24">
            <v>1600</v>
          </cell>
        </row>
        <row r="29">
          <cell r="B29">
            <v>16836.730698714542</v>
          </cell>
        </row>
        <row r="38">
          <cell r="B38">
            <v>30000</v>
          </cell>
        </row>
      </sheetData>
      <sheetData sheetId="1" refreshError="1">
        <row r="1">
          <cell r="B1" t="str">
            <v>LINCE SPA</v>
          </cell>
        </row>
        <row r="20">
          <cell r="I20">
            <v>5519.8913374684307</v>
          </cell>
          <cell r="J20">
            <v>7022.2993177604349</v>
          </cell>
        </row>
      </sheetData>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y Out Overview"/>
      <sheetName val="1.P&amp;L"/>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rom Edotech"/>
      <sheetName val="Full financials"/>
      <sheetName val="2"/>
      <sheetName val="Scenario"/>
      <sheetName val="3"/>
      <sheetName val="DCF "/>
      <sheetName val="4"/>
      <sheetName val="LBO Summary "/>
      <sheetName val="LBO Structure "/>
      <sheetName val="Charts"/>
      <sheetName val="LBO "/>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data"/>
      <sheetName val="Cover"/>
      <sheetName val="P&amp;L"/>
      <sheetName val="Margin Analysis"/>
      <sheetName val="Personnel"/>
      <sheetName val="Personnel ratios"/>
      <sheetName val="Fixed Costs"/>
      <sheetName val="BS"/>
      <sheetName val="Cash Flow"/>
      <sheetName val="Working Capital"/>
      <sheetName val="Ageing"/>
      <sheetName val="Production Volumes"/>
      <sheetName val="Production report FG"/>
      <sheetName val="Production report S.F.G."/>
      <sheetName val="Customer satisfaction report"/>
      <sheetName val="Capex report"/>
    </sheetNames>
    <sheetDataSet>
      <sheetData sheetId="0" refreshError="1">
        <row r="7">
          <cell r="B7" t="str">
            <v>€uro</v>
          </cell>
        </row>
        <row r="9">
          <cell r="B9">
            <v>5</v>
          </cell>
        </row>
        <row r="11">
          <cell r="B11" t="str">
            <v>May</v>
          </cell>
        </row>
        <row r="17">
          <cell r="B17">
            <v>2002</v>
          </cell>
        </row>
      </sheetData>
      <sheetData sheetId="1" refreshError="1">
        <row r="9">
          <cell r="D9" t="str">
            <v>Globalcap Consolidated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data"/>
      <sheetName val="Cover"/>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__FDSCACHE__"/>
      <sheetName val="Input"/>
      <sheetName val="Workings"/>
      <sheetName val="Multiples"/>
    </sheetNames>
    <sheetDataSet>
      <sheetData sheetId="0">
        <row r="4">
          <cell r="G4" t="str">
            <v>Local</v>
          </cell>
        </row>
        <row r="5">
          <cell r="C5" t="str">
            <v>n/a</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Multiples"/>
      <sheetName val="2Year"/>
      <sheetName val="Performance"/>
      <sheetName val="Valuation Overview"/>
      <sheetName val="Valuation Summary"/>
      <sheetName val="Sum of Part"/>
    </sheetNames>
    <sheetDataSet>
      <sheetData sheetId="0" refreshError="1"/>
      <sheetData sheetId="1"/>
      <sheetData sheetId="2">
        <row r="509">
          <cell r="B509">
            <v>0.26930375743263191</v>
          </cell>
        </row>
      </sheetData>
      <sheetData sheetId="3" refreshError="1"/>
      <sheetData sheetId="4" refreshError="1"/>
      <sheetData sheetId="5" refreshError="1"/>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Year"/>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modello Dayco F&amp;F"/>
      <sheetName val="Covenants"/>
      <sheetName val="P&amp;L with financing"/>
      <sheetName val="BALANCEwith financing"/>
      <sheetName val="P&amp;L operating"/>
      <sheetName val="BALANCE operating"/>
      <sheetName val="P&amp;L_cons Piano 2008-2011 old"/>
      <sheetName val="Leasing Chivasso "/>
      <sheetName val="nuovo leasing A "/>
      <sheetName val="nuovo leasing B"/>
      <sheetName val="nuovo leasing C"/>
      <sheetName val="Variazioni cassa 2007"/>
      <sheetName val="p&amp;l Cons 2006"/>
      <sheetName val="p&amp;l cons 2007"/>
      <sheetName val="depreciation"/>
      <sheetName val="Capex plan"/>
      <sheetName val="Foglio1"/>
    </sheetNames>
    <sheetDataSet>
      <sheetData sheetId="0"/>
      <sheetData sheetId="1"/>
      <sheetData sheetId="2"/>
      <sheetData sheetId="3"/>
      <sheetData sheetId="4"/>
      <sheetData sheetId="5"/>
      <sheetData sheetId="6"/>
      <sheetData sheetId="7"/>
      <sheetData sheetId="8">
        <row r="15">
          <cell r="B15" t="str">
            <v>Loan repayment plan (Euro/000)</v>
          </cell>
          <cell r="C15" t="str">
            <v>Date</v>
          </cell>
          <cell r="D15" t="str">
            <v>Opening bal.</v>
          </cell>
          <cell r="E15" t="str">
            <v>Interest</v>
          </cell>
          <cell r="F15" t="str">
            <v>Capital</v>
          </cell>
          <cell r="G15" t="str">
            <v>Ending bal.</v>
          </cell>
          <cell r="H15" t="str">
            <v>Balloon</v>
          </cell>
          <cell r="K15" t="str">
            <v>Anno</v>
          </cell>
        </row>
        <row r="16">
          <cell r="B16" t="str">
            <v>Instalment n.1</v>
          </cell>
          <cell r="C16">
            <v>39508</v>
          </cell>
          <cell r="D16">
            <v>6500000</v>
          </cell>
          <cell r="E16">
            <v>59583.333333333336</v>
          </cell>
          <cell r="F16">
            <v>0</v>
          </cell>
          <cell r="G16">
            <v>6500000</v>
          </cell>
          <cell r="H16">
            <v>0</v>
          </cell>
          <cell r="K16">
            <v>2008</v>
          </cell>
        </row>
        <row r="17">
          <cell r="B17" t="str">
            <v>Instalment n.2</v>
          </cell>
          <cell r="C17">
            <v>39600</v>
          </cell>
          <cell r="D17">
            <v>6500000</v>
          </cell>
          <cell r="E17">
            <v>89375</v>
          </cell>
          <cell r="F17">
            <v>0</v>
          </cell>
          <cell r="G17">
            <v>6500000</v>
          </cell>
          <cell r="H17">
            <v>0</v>
          </cell>
          <cell r="K17">
            <v>2008</v>
          </cell>
        </row>
        <row r="18">
          <cell r="B18" t="str">
            <v>Instalment n.3</v>
          </cell>
          <cell r="C18">
            <v>39692</v>
          </cell>
          <cell r="D18">
            <v>6500000</v>
          </cell>
          <cell r="E18">
            <v>89375</v>
          </cell>
          <cell r="F18">
            <v>0</v>
          </cell>
          <cell r="G18">
            <v>6500000</v>
          </cell>
          <cell r="H18">
            <v>0</v>
          </cell>
          <cell r="K18">
            <v>2008</v>
          </cell>
        </row>
        <row r="19">
          <cell r="B19" t="str">
            <v>Instalment n.4</v>
          </cell>
          <cell r="C19">
            <v>39783</v>
          </cell>
          <cell r="D19">
            <v>6500000</v>
          </cell>
          <cell r="E19">
            <v>89375</v>
          </cell>
          <cell r="F19">
            <v>0</v>
          </cell>
          <cell r="G19">
            <v>6500000</v>
          </cell>
          <cell r="H19">
            <v>0</v>
          </cell>
          <cell r="K19">
            <v>2008</v>
          </cell>
        </row>
        <row r="20">
          <cell r="B20" t="str">
            <v>Instalment n.5</v>
          </cell>
          <cell r="C20">
            <v>39873</v>
          </cell>
          <cell r="D20">
            <v>6500000</v>
          </cell>
          <cell r="E20">
            <v>89375</v>
          </cell>
          <cell r="F20">
            <v>284573.48841394164</v>
          </cell>
          <cell r="G20">
            <v>6215426.511586058</v>
          </cell>
          <cell r="H20">
            <v>0</v>
          </cell>
          <cell r="K20">
            <v>2009</v>
          </cell>
        </row>
        <row r="21">
          <cell r="B21" t="str">
            <v>Instalment n.6</v>
          </cell>
          <cell r="C21">
            <v>39965</v>
          </cell>
          <cell r="D21">
            <v>6215426.511586058</v>
          </cell>
          <cell r="E21">
            <v>85462.114534308304</v>
          </cell>
          <cell r="F21">
            <v>288486.37387963332</v>
          </cell>
          <cell r="G21">
            <v>5926940.137706425</v>
          </cell>
          <cell r="H21">
            <v>0</v>
          </cell>
          <cell r="K21">
            <v>2009</v>
          </cell>
        </row>
        <row r="22">
          <cell r="B22" t="str">
            <v>Instalment n.7</v>
          </cell>
          <cell r="C22">
            <v>40057</v>
          </cell>
          <cell r="D22">
            <v>5926940.137706425</v>
          </cell>
          <cell r="E22">
            <v>81495.426893463344</v>
          </cell>
          <cell r="F22">
            <v>292453.06152047828</v>
          </cell>
          <cell r="G22">
            <v>5634487.0761859464</v>
          </cell>
          <cell r="H22">
            <v>0</v>
          </cell>
          <cell r="K22">
            <v>2009</v>
          </cell>
        </row>
        <row r="23">
          <cell r="B23" t="str">
            <v>Instalment n.8</v>
          </cell>
          <cell r="C23">
            <v>40148</v>
          </cell>
          <cell r="D23">
            <v>5634487.0761859464</v>
          </cell>
          <cell r="E23">
            <v>77474.197297556762</v>
          </cell>
          <cell r="F23">
            <v>296474.29111638491</v>
          </cell>
          <cell r="G23">
            <v>5338012.7850695616</v>
          </cell>
          <cell r="H23">
            <v>0</v>
          </cell>
          <cell r="K23">
            <v>2009</v>
          </cell>
        </row>
        <row r="24">
          <cell r="B24" t="str">
            <v>Instalment n.9</v>
          </cell>
          <cell r="C24">
            <v>40238</v>
          </cell>
          <cell r="D24">
            <v>5338012.7850695616</v>
          </cell>
          <cell r="E24">
            <v>73397.675794706491</v>
          </cell>
          <cell r="F24">
            <v>300550.81261923513</v>
          </cell>
          <cell r="G24">
            <v>5037461.9724503262</v>
          </cell>
          <cell r="H24">
            <v>0</v>
          </cell>
          <cell r="K24">
            <v>2010</v>
          </cell>
        </row>
        <row r="25">
          <cell r="B25" t="str">
            <v>Instalment n.10</v>
          </cell>
          <cell r="C25">
            <v>40330</v>
          </cell>
          <cell r="D25">
            <v>5037461.9724503262</v>
          </cell>
          <cell r="E25">
            <v>69265.102121192002</v>
          </cell>
          <cell r="F25">
            <v>304683.38629274967</v>
          </cell>
          <cell r="G25">
            <v>4732778.5861575762</v>
          </cell>
          <cell r="H25">
            <v>0</v>
          </cell>
          <cell r="K25">
            <v>2010</v>
          </cell>
        </row>
        <row r="26">
          <cell r="B26" t="str">
            <v>Instalment n.11</v>
          </cell>
          <cell r="C26">
            <v>40422</v>
          </cell>
          <cell r="D26">
            <v>4732778.5861575762</v>
          </cell>
          <cell r="E26">
            <v>65075.705559666698</v>
          </cell>
          <cell r="F26">
            <v>308872.78285427496</v>
          </cell>
          <cell r="G26">
            <v>4423905.8033033013</v>
          </cell>
          <cell r="H26">
            <v>0</v>
          </cell>
          <cell r="K26">
            <v>2010</v>
          </cell>
        </row>
        <row r="27">
          <cell r="B27" t="str">
            <v>Instalment n.12</v>
          </cell>
          <cell r="C27">
            <v>40513</v>
          </cell>
          <cell r="D27">
            <v>4423905.8033033013</v>
          </cell>
          <cell r="E27">
            <v>60828.70479542041</v>
          </cell>
          <cell r="F27">
            <v>313119.78361852124</v>
          </cell>
          <cell r="G27">
            <v>4110786.0196847799</v>
          </cell>
          <cell r="H27">
            <v>0</v>
          </cell>
          <cell r="K27">
            <v>2010</v>
          </cell>
        </row>
        <row r="28">
          <cell r="B28" t="str">
            <v>Instalment n.13</v>
          </cell>
          <cell r="C28">
            <v>40603</v>
          </cell>
          <cell r="D28">
            <v>4110786.0196847799</v>
          </cell>
          <cell r="E28">
            <v>56523.307770665735</v>
          </cell>
          <cell r="F28">
            <v>317425.1806432759</v>
          </cell>
          <cell r="G28">
            <v>3793360.8390415041</v>
          </cell>
          <cell r="H28">
            <v>0</v>
          </cell>
          <cell r="K28">
            <v>2011</v>
          </cell>
        </row>
        <row r="29">
          <cell r="B29" t="str">
            <v>Instalment n.14</v>
          </cell>
          <cell r="C29">
            <v>40695</v>
          </cell>
          <cell r="D29">
            <v>3793360.8390415041</v>
          </cell>
          <cell r="E29">
            <v>52158.711536820687</v>
          </cell>
          <cell r="F29">
            <v>321789.77687712095</v>
          </cell>
          <cell r="G29">
            <v>3471571.062164383</v>
          </cell>
          <cell r="H29">
            <v>0</v>
          </cell>
          <cell r="K29">
            <v>2011</v>
          </cell>
        </row>
        <row r="30">
          <cell r="B30" t="str">
            <v>Instalment n.15</v>
          </cell>
          <cell r="C30">
            <v>40787</v>
          </cell>
          <cell r="D30">
            <v>3471571.062164383</v>
          </cell>
          <cell r="E30">
            <v>47734.102104760277</v>
          </cell>
          <cell r="F30">
            <v>326214.38630918134</v>
          </cell>
          <cell r="G30">
            <v>3145356.6758552017</v>
          </cell>
          <cell r="H30">
            <v>0</v>
          </cell>
          <cell r="K30">
            <v>2011</v>
          </cell>
        </row>
        <row r="31">
          <cell r="B31" t="str">
            <v>Instalment n.16</v>
          </cell>
          <cell r="C31">
            <v>40878</v>
          </cell>
          <cell r="D31">
            <v>3145356.6758552017</v>
          </cell>
          <cell r="E31">
            <v>43248.654293009044</v>
          </cell>
          <cell r="F31">
            <v>330699.83412093262</v>
          </cell>
          <cell r="G31">
            <v>2814656.8417342692</v>
          </cell>
          <cell r="H31">
            <v>0</v>
          </cell>
          <cell r="K31">
            <v>2011</v>
          </cell>
        </row>
        <row r="32">
          <cell r="B32" t="str">
            <v>Instalment n.17</v>
          </cell>
          <cell r="C32">
            <v>40969</v>
          </cell>
          <cell r="D32">
            <v>2814656.8417342692</v>
          </cell>
          <cell r="E32">
            <v>38701.531573846216</v>
          </cell>
          <cell r="F32">
            <v>335246.9568400954</v>
          </cell>
          <cell r="G32">
            <v>2479409.8848941736</v>
          </cell>
          <cell r="H32">
            <v>0</v>
          </cell>
          <cell r="K32">
            <v>2012</v>
          </cell>
        </row>
        <row r="33">
          <cell r="B33" t="str">
            <v>Instalment n.18</v>
          </cell>
          <cell r="C33">
            <v>41061</v>
          </cell>
          <cell r="D33">
            <v>2479409.8848941736</v>
          </cell>
          <cell r="E33">
            <v>34091.885917294909</v>
          </cell>
          <cell r="F33">
            <v>339856.60249664675</v>
          </cell>
          <cell r="G33">
            <v>2139553.2823975268</v>
          </cell>
          <cell r="H33">
            <v>0</v>
          </cell>
          <cell r="K33">
            <v>2012</v>
          </cell>
        </row>
        <row r="34">
          <cell r="B34" t="str">
            <v>Instalment n.19</v>
          </cell>
          <cell r="C34">
            <v>41153</v>
          </cell>
          <cell r="D34">
            <v>2139553.2823975268</v>
          </cell>
          <cell r="E34">
            <v>29418.857632966014</v>
          </cell>
          <cell r="F34">
            <v>344529.63078097563</v>
          </cell>
          <cell r="G34">
            <v>1795023.6516165512</v>
          </cell>
          <cell r="H34">
            <v>0</v>
          </cell>
          <cell r="K34">
            <v>2012</v>
          </cell>
        </row>
        <row r="35">
          <cell r="B35" t="str">
            <v>Instalment n.20</v>
          </cell>
          <cell r="C35">
            <v>41244</v>
          </cell>
          <cell r="D35">
            <v>1795023.6516165512</v>
          </cell>
          <cell r="E35">
            <v>24681.575209727594</v>
          </cell>
          <cell r="F35">
            <v>349266.91320421407</v>
          </cell>
          <cell r="G35">
            <v>1445756.7384123371</v>
          </cell>
          <cell r="H35">
            <v>0</v>
          </cell>
          <cell r="K35">
            <v>2012</v>
          </cell>
        </row>
        <row r="36">
          <cell r="B36" t="str">
            <v>Instalment n.21</v>
          </cell>
          <cell r="C36">
            <v>41334</v>
          </cell>
          <cell r="D36">
            <v>1445756.7384123371</v>
          </cell>
          <cell r="E36">
            <v>19879.155153169653</v>
          </cell>
          <cell r="F36">
            <v>354069.33326077199</v>
          </cell>
          <cell r="G36">
            <v>1091687.4051515651</v>
          </cell>
          <cell r="H36">
            <v>0</v>
          </cell>
          <cell r="K36">
            <v>2013</v>
          </cell>
        </row>
        <row r="37">
          <cell r="B37" t="str">
            <v>Instalment n.22</v>
          </cell>
          <cell r="C37">
            <v>41426</v>
          </cell>
          <cell r="D37">
            <v>1091687.4051515651</v>
          </cell>
          <cell r="E37">
            <v>15010.701820834036</v>
          </cell>
          <cell r="F37">
            <v>358937.78659310762</v>
          </cell>
          <cell r="G37">
            <v>732749.61855845747</v>
          </cell>
          <cell r="H37">
            <v>0</v>
          </cell>
          <cell r="K37">
            <v>2013</v>
          </cell>
        </row>
        <row r="38">
          <cell r="B38" t="str">
            <v>Instalment n.23</v>
          </cell>
          <cell r="C38">
            <v>41518</v>
          </cell>
          <cell r="D38">
            <v>732749.61855845747</v>
          </cell>
          <cell r="E38">
            <v>10075.307255178808</v>
          </cell>
          <cell r="F38">
            <v>363873.18115876283</v>
          </cell>
          <cell r="G38">
            <v>368876.43739969464</v>
          </cell>
          <cell r="H38">
            <v>0</v>
          </cell>
          <cell r="K38">
            <v>2013</v>
          </cell>
        </row>
        <row r="39">
          <cell r="B39" t="str">
            <v>Instalment n.24</v>
          </cell>
          <cell r="C39">
            <v>41609</v>
          </cell>
          <cell r="D39">
            <v>368876.43739969464</v>
          </cell>
          <cell r="E39">
            <v>5072.051014245817</v>
          </cell>
          <cell r="F39">
            <v>368876.4373996958</v>
          </cell>
          <cell r="G39">
            <v>-1.1641532182693481E-9</v>
          </cell>
          <cell r="H39">
            <v>0</v>
          </cell>
          <cell r="K39">
            <v>2013</v>
          </cell>
        </row>
        <row r="40">
          <cell r="B40" t="str">
            <v/>
          </cell>
          <cell r="C40" t="str">
            <v/>
          </cell>
          <cell r="D40">
            <v>0</v>
          </cell>
          <cell r="E40">
            <v>0</v>
          </cell>
          <cell r="F40">
            <v>0</v>
          </cell>
          <cell r="G40">
            <v>0</v>
          </cell>
          <cell r="H40">
            <v>0</v>
          </cell>
          <cell r="K40" t="e">
            <v>#VALUE!</v>
          </cell>
        </row>
        <row r="41">
          <cell r="B41" t="str">
            <v/>
          </cell>
          <cell r="C41" t="str">
            <v/>
          </cell>
          <cell r="D41">
            <v>0</v>
          </cell>
          <cell r="E41">
            <v>0</v>
          </cell>
          <cell r="F41">
            <v>0</v>
          </cell>
          <cell r="G41">
            <v>0</v>
          </cell>
          <cell r="H41">
            <v>0</v>
          </cell>
          <cell r="K41" t="e">
            <v>#VALUE!</v>
          </cell>
        </row>
        <row r="42">
          <cell r="B42" t="str">
            <v/>
          </cell>
          <cell r="C42" t="str">
            <v/>
          </cell>
          <cell r="D42">
            <v>0</v>
          </cell>
          <cell r="E42">
            <v>0</v>
          </cell>
          <cell r="F42">
            <v>0</v>
          </cell>
          <cell r="G42">
            <v>0</v>
          </cell>
          <cell r="H42">
            <v>0</v>
          </cell>
          <cell r="K42" t="e">
            <v>#VALUE!</v>
          </cell>
        </row>
        <row r="43">
          <cell r="B43" t="str">
            <v/>
          </cell>
          <cell r="C43" t="str">
            <v/>
          </cell>
          <cell r="D43">
            <v>0</v>
          </cell>
          <cell r="E43">
            <v>0</v>
          </cell>
          <cell r="F43">
            <v>0</v>
          </cell>
          <cell r="G43">
            <v>0</v>
          </cell>
          <cell r="H43">
            <v>0</v>
          </cell>
          <cell r="K43" t="e">
            <v>#VALUE!</v>
          </cell>
        </row>
        <row r="44">
          <cell r="B44" t="str">
            <v/>
          </cell>
          <cell r="C44" t="str">
            <v/>
          </cell>
          <cell r="D44">
            <v>0</v>
          </cell>
          <cell r="E44">
            <v>0</v>
          </cell>
          <cell r="F44">
            <v>0</v>
          </cell>
          <cell r="G44">
            <v>0</v>
          </cell>
          <cell r="H44">
            <v>0</v>
          </cell>
          <cell r="K44" t="e">
            <v>#VALUE!</v>
          </cell>
        </row>
        <row r="45">
          <cell r="B45" t="str">
            <v/>
          </cell>
          <cell r="C45" t="str">
            <v/>
          </cell>
          <cell r="D45">
            <v>0</v>
          </cell>
          <cell r="E45">
            <v>0</v>
          </cell>
          <cell r="F45">
            <v>0</v>
          </cell>
          <cell r="G45">
            <v>0</v>
          </cell>
          <cell r="H45">
            <v>0</v>
          </cell>
          <cell r="K45" t="e">
            <v>#VALUE!</v>
          </cell>
        </row>
        <row r="46">
          <cell r="B46" t="str">
            <v/>
          </cell>
          <cell r="C46" t="str">
            <v/>
          </cell>
          <cell r="D46">
            <v>0</v>
          </cell>
          <cell r="E46">
            <v>0</v>
          </cell>
          <cell r="F46">
            <v>0</v>
          </cell>
          <cell r="G46">
            <v>0</v>
          </cell>
          <cell r="H46">
            <v>0</v>
          </cell>
          <cell r="K46" t="e">
            <v>#VALUE!</v>
          </cell>
        </row>
        <row r="47">
          <cell r="B47" t="str">
            <v/>
          </cell>
          <cell r="C47" t="str">
            <v/>
          </cell>
          <cell r="D47">
            <v>0</v>
          </cell>
          <cell r="E47">
            <v>0</v>
          </cell>
          <cell r="F47">
            <v>0</v>
          </cell>
          <cell r="G47">
            <v>0</v>
          </cell>
          <cell r="H47">
            <v>0</v>
          </cell>
          <cell r="K47" t="e">
            <v>#VALUE!</v>
          </cell>
        </row>
        <row r="48">
          <cell r="B48" t="str">
            <v/>
          </cell>
          <cell r="C48" t="str">
            <v/>
          </cell>
          <cell r="D48">
            <v>0</v>
          </cell>
          <cell r="E48">
            <v>0</v>
          </cell>
          <cell r="F48">
            <v>0</v>
          </cell>
          <cell r="G48">
            <v>0</v>
          </cell>
          <cell r="H48">
            <v>0</v>
          </cell>
          <cell r="K48" t="e">
            <v>#VALUE!</v>
          </cell>
        </row>
        <row r="49">
          <cell r="B49" t="str">
            <v/>
          </cell>
          <cell r="C49" t="str">
            <v/>
          </cell>
          <cell r="D49">
            <v>0</v>
          </cell>
          <cell r="E49">
            <v>0</v>
          </cell>
          <cell r="F49">
            <v>0</v>
          </cell>
          <cell r="G49">
            <v>0</v>
          </cell>
          <cell r="H49">
            <v>0</v>
          </cell>
          <cell r="K49" t="e">
            <v>#VALUE!</v>
          </cell>
        </row>
        <row r="50">
          <cell r="B50" t="str">
            <v/>
          </cell>
          <cell r="C50" t="str">
            <v/>
          </cell>
          <cell r="D50">
            <v>0</v>
          </cell>
          <cell r="E50">
            <v>0</v>
          </cell>
          <cell r="F50">
            <v>0</v>
          </cell>
          <cell r="G50">
            <v>0</v>
          </cell>
          <cell r="H50">
            <v>0</v>
          </cell>
          <cell r="K50" t="e">
            <v>#VALUE!</v>
          </cell>
        </row>
        <row r="51">
          <cell r="B51" t="str">
            <v/>
          </cell>
          <cell r="C51" t="str">
            <v/>
          </cell>
          <cell r="D51">
            <v>0</v>
          </cell>
          <cell r="E51">
            <v>0</v>
          </cell>
          <cell r="F51">
            <v>0</v>
          </cell>
          <cell r="G51">
            <v>0</v>
          </cell>
          <cell r="H51">
            <v>0</v>
          </cell>
          <cell r="K51" t="e">
            <v>#VALUE!</v>
          </cell>
        </row>
        <row r="52">
          <cell r="B52" t="str">
            <v/>
          </cell>
          <cell r="C52" t="str">
            <v/>
          </cell>
          <cell r="D52">
            <v>0</v>
          </cell>
          <cell r="E52">
            <v>0</v>
          </cell>
          <cell r="F52">
            <v>0</v>
          </cell>
          <cell r="G52">
            <v>0</v>
          </cell>
          <cell r="H52">
            <v>0</v>
          </cell>
          <cell r="K52" t="e">
            <v>#VALUE!</v>
          </cell>
        </row>
        <row r="53">
          <cell r="B53" t="str">
            <v/>
          </cell>
          <cell r="C53" t="str">
            <v/>
          </cell>
          <cell r="D53">
            <v>0</v>
          </cell>
          <cell r="E53">
            <v>0</v>
          </cell>
          <cell r="F53">
            <v>0</v>
          </cell>
          <cell r="G53">
            <v>0</v>
          </cell>
          <cell r="H53">
            <v>0</v>
          </cell>
          <cell r="K53" t="e">
            <v>#VALUE!</v>
          </cell>
        </row>
        <row r="54">
          <cell r="B54" t="str">
            <v/>
          </cell>
          <cell r="C54" t="str">
            <v/>
          </cell>
          <cell r="D54">
            <v>0</v>
          </cell>
          <cell r="E54">
            <v>0</v>
          </cell>
          <cell r="F54">
            <v>0</v>
          </cell>
          <cell r="G54">
            <v>0</v>
          </cell>
          <cell r="H54">
            <v>0</v>
          </cell>
          <cell r="K54" t="e">
            <v>#VALUE!</v>
          </cell>
        </row>
        <row r="55">
          <cell r="B55" t="str">
            <v/>
          </cell>
          <cell r="C55" t="str">
            <v/>
          </cell>
          <cell r="D55">
            <v>0</v>
          </cell>
          <cell r="E55">
            <v>0</v>
          </cell>
          <cell r="F55">
            <v>0</v>
          </cell>
          <cell r="G55">
            <v>0</v>
          </cell>
          <cell r="H55">
            <v>0</v>
          </cell>
          <cell r="K55" t="e">
            <v>#VALUE!</v>
          </cell>
        </row>
        <row r="56">
          <cell r="B56" t="str">
            <v/>
          </cell>
          <cell r="C56" t="str">
            <v/>
          </cell>
          <cell r="D56">
            <v>0</v>
          </cell>
          <cell r="E56">
            <v>0</v>
          </cell>
          <cell r="F56">
            <v>0</v>
          </cell>
          <cell r="G56">
            <v>0</v>
          </cell>
          <cell r="H56">
            <v>0</v>
          </cell>
          <cell r="K56" t="e">
            <v>#VALUE!</v>
          </cell>
        </row>
        <row r="57">
          <cell r="B57" t="str">
            <v/>
          </cell>
          <cell r="C57" t="str">
            <v/>
          </cell>
          <cell r="D57">
            <v>0</v>
          </cell>
          <cell r="E57">
            <v>0</v>
          </cell>
          <cell r="F57">
            <v>0</v>
          </cell>
          <cell r="G57">
            <v>0</v>
          </cell>
          <cell r="H57">
            <v>0</v>
          </cell>
          <cell r="K57" t="e">
            <v>#VALUE!</v>
          </cell>
        </row>
        <row r="58">
          <cell r="B58" t="str">
            <v/>
          </cell>
          <cell r="C58" t="str">
            <v/>
          </cell>
          <cell r="D58">
            <v>0</v>
          </cell>
          <cell r="E58">
            <v>0</v>
          </cell>
          <cell r="F58">
            <v>0</v>
          </cell>
          <cell r="G58">
            <v>0</v>
          </cell>
          <cell r="H58">
            <v>0</v>
          </cell>
          <cell r="K58" t="e">
            <v>#VALUE!</v>
          </cell>
        </row>
        <row r="59">
          <cell r="B59" t="str">
            <v/>
          </cell>
          <cell r="C59" t="str">
            <v/>
          </cell>
          <cell r="D59">
            <v>0</v>
          </cell>
          <cell r="E59">
            <v>0</v>
          </cell>
          <cell r="F59">
            <v>0</v>
          </cell>
          <cell r="G59">
            <v>0</v>
          </cell>
          <cell r="H59">
            <v>0</v>
          </cell>
          <cell r="K59" t="e">
            <v>#VALUE!</v>
          </cell>
        </row>
        <row r="60">
          <cell r="B60" t="str">
            <v/>
          </cell>
          <cell r="C60" t="str">
            <v/>
          </cell>
          <cell r="D60">
            <v>0</v>
          </cell>
          <cell r="E60">
            <v>0</v>
          </cell>
          <cell r="F60">
            <v>0</v>
          </cell>
          <cell r="G60">
            <v>0</v>
          </cell>
          <cell r="H60">
            <v>0</v>
          </cell>
          <cell r="K60" t="e">
            <v>#VALUE!</v>
          </cell>
        </row>
        <row r="61">
          <cell r="B61" t="str">
            <v/>
          </cell>
          <cell r="C61" t="str">
            <v/>
          </cell>
          <cell r="D61">
            <v>0</v>
          </cell>
          <cell r="E61">
            <v>0</v>
          </cell>
          <cell r="F61">
            <v>0</v>
          </cell>
          <cell r="G61">
            <v>0</v>
          </cell>
          <cell r="H61">
            <v>0</v>
          </cell>
          <cell r="K61" t="e">
            <v>#VALUE!</v>
          </cell>
        </row>
        <row r="62">
          <cell r="B62" t="str">
            <v/>
          </cell>
          <cell r="C62" t="str">
            <v/>
          </cell>
          <cell r="D62">
            <v>0</v>
          </cell>
          <cell r="E62">
            <v>0</v>
          </cell>
          <cell r="F62">
            <v>0</v>
          </cell>
          <cell r="G62">
            <v>0</v>
          </cell>
          <cell r="H62">
            <v>0</v>
          </cell>
          <cell r="K62" t="e">
            <v>#VALUE!</v>
          </cell>
        </row>
        <row r="63">
          <cell r="B63" t="str">
            <v/>
          </cell>
          <cell r="C63" t="str">
            <v/>
          </cell>
          <cell r="D63">
            <v>0</v>
          </cell>
          <cell r="E63">
            <v>0</v>
          </cell>
          <cell r="F63">
            <v>0</v>
          </cell>
          <cell r="G63">
            <v>0</v>
          </cell>
          <cell r="H63">
            <v>0</v>
          </cell>
          <cell r="K63" t="e">
            <v>#VALUE!</v>
          </cell>
        </row>
        <row r="64">
          <cell r="B64" t="str">
            <v/>
          </cell>
          <cell r="C64" t="str">
            <v/>
          </cell>
          <cell r="D64">
            <v>0</v>
          </cell>
          <cell r="E64">
            <v>0</v>
          </cell>
          <cell r="F64">
            <v>0</v>
          </cell>
          <cell r="G64">
            <v>0</v>
          </cell>
          <cell r="H64">
            <v>0</v>
          </cell>
          <cell r="K64" t="e">
            <v>#VALUE!</v>
          </cell>
        </row>
        <row r="65">
          <cell r="B65" t="str">
            <v/>
          </cell>
          <cell r="C65" t="str">
            <v/>
          </cell>
          <cell r="D65">
            <v>0</v>
          </cell>
          <cell r="E65">
            <v>0</v>
          </cell>
          <cell r="F65">
            <v>0</v>
          </cell>
          <cell r="G65">
            <v>0</v>
          </cell>
          <cell r="H65">
            <v>0</v>
          </cell>
          <cell r="K65" t="e">
            <v>#VALUE!</v>
          </cell>
        </row>
        <row r="66">
          <cell r="B66" t="str">
            <v/>
          </cell>
          <cell r="C66" t="str">
            <v/>
          </cell>
          <cell r="D66">
            <v>0</v>
          </cell>
          <cell r="E66">
            <v>0</v>
          </cell>
          <cell r="F66">
            <v>0</v>
          </cell>
          <cell r="G66">
            <v>0</v>
          </cell>
          <cell r="H66">
            <v>0</v>
          </cell>
          <cell r="K66" t="e">
            <v>#VALUE!</v>
          </cell>
        </row>
        <row r="67">
          <cell r="B67" t="str">
            <v/>
          </cell>
          <cell r="C67" t="str">
            <v/>
          </cell>
          <cell r="D67">
            <v>0</v>
          </cell>
          <cell r="E67">
            <v>0</v>
          </cell>
          <cell r="F67">
            <v>0</v>
          </cell>
          <cell r="G67">
            <v>0</v>
          </cell>
          <cell r="H67">
            <v>0</v>
          </cell>
          <cell r="K67" t="e">
            <v>#VALUE!</v>
          </cell>
        </row>
        <row r="68">
          <cell r="B68" t="str">
            <v/>
          </cell>
          <cell r="C68" t="str">
            <v/>
          </cell>
          <cell r="D68">
            <v>0</v>
          </cell>
          <cell r="E68">
            <v>0</v>
          </cell>
          <cell r="F68">
            <v>0</v>
          </cell>
          <cell r="G68">
            <v>0</v>
          </cell>
          <cell r="H68">
            <v>0</v>
          </cell>
          <cell r="K68" t="e">
            <v>#VALUE!</v>
          </cell>
        </row>
        <row r="69">
          <cell r="B69" t="str">
            <v/>
          </cell>
          <cell r="C69" t="str">
            <v/>
          </cell>
          <cell r="D69">
            <v>0</v>
          </cell>
          <cell r="E69">
            <v>0</v>
          </cell>
          <cell r="F69">
            <v>0</v>
          </cell>
          <cell r="G69">
            <v>0</v>
          </cell>
          <cell r="H69">
            <v>0</v>
          </cell>
          <cell r="K69" t="e">
            <v>#VALUE!</v>
          </cell>
        </row>
        <row r="70">
          <cell r="B70" t="str">
            <v/>
          </cell>
          <cell r="C70" t="str">
            <v/>
          </cell>
          <cell r="D70">
            <v>0</v>
          </cell>
          <cell r="E70">
            <v>0</v>
          </cell>
          <cell r="F70">
            <v>0</v>
          </cell>
          <cell r="G70">
            <v>0</v>
          </cell>
          <cell r="H70">
            <v>0</v>
          </cell>
          <cell r="K70" t="e">
            <v>#VALUE!</v>
          </cell>
        </row>
        <row r="71">
          <cell r="B71" t="str">
            <v/>
          </cell>
          <cell r="C71" t="str">
            <v/>
          </cell>
          <cell r="D71">
            <v>0</v>
          </cell>
          <cell r="E71">
            <v>0</v>
          </cell>
          <cell r="F71">
            <v>0</v>
          </cell>
          <cell r="G71">
            <v>0</v>
          </cell>
          <cell r="H71">
            <v>0</v>
          </cell>
          <cell r="K71" t="e">
            <v>#VALUE!</v>
          </cell>
        </row>
        <row r="72">
          <cell r="B72" t="str">
            <v/>
          </cell>
          <cell r="C72" t="str">
            <v/>
          </cell>
          <cell r="D72">
            <v>0</v>
          </cell>
          <cell r="E72">
            <v>0</v>
          </cell>
          <cell r="F72">
            <v>0</v>
          </cell>
          <cell r="G72">
            <v>0</v>
          </cell>
          <cell r="H72">
            <v>0</v>
          </cell>
          <cell r="K72" t="e">
            <v>#VALUE!</v>
          </cell>
        </row>
        <row r="73">
          <cell r="B73" t="str">
            <v/>
          </cell>
          <cell r="C73" t="str">
            <v/>
          </cell>
          <cell r="D73">
            <v>0</v>
          </cell>
          <cell r="E73">
            <v>0</v>
          </cell>
          <cell r="F73">
            <v>0</v>
          </cell>
          <cell r="G73">
            <v>0</v>
          </cell>
          <cell r="H73">
            <v>0</v>
          </cell>
          <cell r="K73" t="e">
            <v>#VALUE!</v>
          </cell>
        </row>
        <row r="74">
          <cell r="B74" t="str">
            <v/>
          </cell>
          <cell r="C74" t="str">
            <v/>
          </cell>
          <cell r="D74">
            <v>0</v>
          </cell>
          <cell r="E74">
            <v>0</v>
          </cell>
          <cell r="F74">
            <v>0</v>
          </cell>
          <cell r="G74">
            <v>0</v>
          </cell>
          <cell r="H74">
            <v>0</v>
          </cell>
          <cell r="K74" t="e">
            <v>#VALUE!</v>
          </cell>
        </row>
        <row r="75">
          <cell r="B75" t="str">
            <v/>
          </cell>
          <cell r="C75" t="str">
            <v/>
          </cell>
          <cell r="D75">
            <v>0</v>
          </cell>
          <cell r="E75">
            <v>0</v>
          </cell>
          <cell r="F75">
            <v>0</v>
          </cell>
          <cell r="G75">
            <v>0</v>
          </cell>
          <cell r="H75">
            <v>0</v>
          </cell>
          <cell r="K75" t="e">
            <v>#VALUE!</v>
          </cell>
        </row>
        <row r="76">
          <cell r="B76" t="str">
            <v/>
          </cell>
          <cell r="C76" t="str">
            <v/>
          </cell>
          <cell r="D76">
            <v>0</v>
          </cell>
          <cell r="E76">
            <v>0</v>
          </cell>
          <cell r="F76">
            <v>0</v>
          </cell>
          <cell r="G76">
            <v>0</v>
          </cell>
          <cell r="H76">
            <v>0</v>
          </cell>
          <cell r="K76" t="e">
            <v>#VALUE!</v>
          </cell>
        </row>
        <row r="77">
          <cell r="B77" t="str">
            <v/>
          </cell>
          <cell r="C77" t="str">
            <v/>
          </cell>
          <cell r="D77">
            <v>0</v>
          </cell>
          <cell r="E77">
            <v>0</v>
          </cell>
          <cell r="F77">
            <v>0</v>
          </cell>
          <cell r="G77">
            <v>0</v>
          </cell>
          <cell r="H77">
            <v>0</v>
          </cell>
          <cell r="K77" t="e">
            <v>#VALUE!</v>
          </cell>
        </row>
        <row r="78">
          <cell r="B78" t="str">
            <v/>
          </cell>
          <cell r="C78" t="str">
            <v/>
          </cell>
          <cell r="D78">
            <v>0</v>
          </cell>
          <cell r="E78">
            <v>0</v>
          </cell>
          <cell r="F78">
            <v>0</v>
          </cell>
          <cell r="G78">
            <v>0</v>
          </cell>
          <cell r="H78">
            <v>0</v>
          </cell>
          <cell r="K78" t="e">
            <v>#VALUE!</v>
          </cell>
        </row>
        <row r="79">
          <cell r="B79" t="str">
            <v/>
          </cell>
          <cell r="C79" t="str">
            <v/>
          </cell>
          <cell r="D79">
            <v>0</v>
          </cell>
          <cell r="E79">
            <v>0</v>
          </cell>
          <cell r="F79">
            <v>0</v>
          </cell>
          <cell r="G79">
            <v>0</v>
          </cell>
          <cell r="H79">
            <v>0</v>
          </cell>
          <cell r="K79" t="e">
            <v>#VALUE!</v>
          </cell>
        </row>
        <row r="80">
          <cell r="B80" t="str">
            <v/>
          </cell>
          <cell r="C80" t="str">
            <v/>
          </cell>
          <cell r="D80">
            <v>0</v>
          </cell>
          <cell r="E80">
            <v>0</v>
          </cell>
          <cell r="F80">
            <v>0</v>
          </cell>
          <cell r="G80">
            <v>0</v>
          </cell>
          <cell r="H80">
            <v>0</v>
          </cell>
          <cell r="K80" t="e">
            <v>#VALUE!</v>
          </cell>
        </row>
        <row r="81">
          <cell r="B81" t="str">
            <v/>
          </cell>
          <cell r="C81" t="str">
            <v/>
          </cell>
          <cell r="D81">
            <v>0</v>
          </cell>
          <cell r="E81">
            <v>0</v>
          </cell>
          <cell r="F81">
            <v>0</v>
          </cell>
          <cell r="G81">
            <v>0</v>
          </cell>
          <cell r="H81">
            <v>0</v>
          </cell>
          <cell r="K81" t="e">
            <v>#VALUE!</v>
          </cell>
        </row>
        <row r="82">
          <cell r="B82" t="str">
            <v/>
          </cell>
          <cell r="C82" t="str">
            <v/>
          </cell>
          <cell r="D82">
            <v>0</v>
          </cell>
          <cell r="E82">
            <v>0</v>
          </cell>
          <cell r="F82">
            <v>0</v>
          </cell>
          <cell r="G82">
            <v>0</v>
          </cell>
          <cell r="H82">
            <v>0</v>
          </cell>
          <cell r="K82" t="e">
            <v>#VALUE!</v>
          </cell>
        </row>
        <row r="83">
          <cell r="B83" t="str">
            <v/>
          </cell>
          <cell r="C83" t="str">
            <v/>
          </cell>
          <cell r="D83">
            <v>0</v>
          </cell>
          <cell r="E83">
            <v>0</v>
          </cell>
          <cell r="F83">
            <v>0</v>
          </cell>
          <cell r="G83">
            <v>0</v>
          </cell>
          <cell r="H83">
            <v>0</v>
          </cell>
          <cell r="K83" t="e">
            <v>#VALUE!</v>
          </cell>
        </row>
        <row r="84">
          <cell r="B84" t="str">
            <v/>
          </cell>
          <cell r="C84" t="str">
            <v/>
          </cell>
          <cell r="D84">
            <v>0</v>
          </cell>
          <cell r="E84">
            <v>0</v>
          </cell>
          <cell r="F84">
            <v>0</v>
          </cell>
          <cell r="G84">
            <v>0</v>
          </cell>
          <cell r="H84">
            <v>0</v>
          </cell>
          <cell r="K84" t="e">
            <v>#VALUE!</v>
          </cell>
        </row>
        <row r="85">
          <cell r="B85" t="str">
            <v/>
          </cell>
          <cell r="C85" t="str">
            <v/>
          </cell>
          <cell r="D85">
            <v>0</v>
          </cell>
          <cell r="E85">
            <v>0</v>
          </cell>
          <cell r="F85">
            <v>0</v>
          </cell>
          <cell r="G85">
            <v>0</v>
          </cell>
          <cell r="H85">
            <v>0</v>
          </cell>
          <cell r="K85" t="e">
            <v>#VALUE!</v>
          </cell>
        </row>
        <row r="86">
          <cell r="B86" t="str">
            <v/>
          </cell>
          <cell r="C86" t="str">
            <v/>
          </cell>
          <cell r="D86">
            <v>0</v>
          </cell>
          <cell r="E86">
            <v>0</v>
          </cell>
          <cell r="F86">
            <v>0</v>
          </cell>
          <cell r="G86">
            <v>0</v>
          </cell>
          <cell r="H86">
            <v>0</v>
          </cell>
          <cell r="K86" t="e">
            <v>#VALUE!</v>
          </cell>
        </row>
        <row r="87">
          <cell r="B87" t="str">
            <v/>
          </cell>
          <cell r="C87" t="str">
            <v/>
          </cell>
          <cell r="D87">
            <v>0</v>
          </cell>
          <cell r="E87">
            <v>0</v>
          </cell>
          <cell r="F87">
            <v>0</v>
          </cell>
          <cell r="G87">
            <v>0</v>
          </cell>
          <cell r="H87">
            <v>0</v>
          </cell>
          <cell r="K87" t="e">
            <v>#VALUE!</v>
          </cell>
        </row>
        <row r="88">
          <cell r="B88" t="str">
            <v/>
          </cell>
          <cell r="C88" t="str">
            <v/>
          </cell>
          <cell r="D88">
            <v>0</v>
          </cell>
          <cell r="E88">
            <v>0</v>
          </cell>
          <cell r="F88">
            <v>0</v>
          </cell>
          <cell r="G88">
            <v>0</v>
          </cell>
          <cell r="H88">
            <v>0</v>
          </cell>
          <cell r="K88" t="e">
            <v>#VALUE!</v>
          </cell>
        </row>
        <row r="89">
          <cell r="B89" t="str">
            <v/>
          </cell>
          <cell r="C89" t="str">
            <v/>
          </cell>
          <cell r="D89">
            <v>0</v>
          </cell>
          <cell r="E89">
            <v>0</v>
          </cell>
          <cell r="F89">
            <v>0</v>
          </cell>
          <cell r="G89">
            <v>0</v>
          </cell>
          <cell r="H89">
            <v>0</v>
          </cell>
          <cell r="K89" t="e">
            <v>#VALUE!</v>
          </cell>
        </row>
        <row r="90">
          <cell r="B90" t="str">
            <v/>
          </cell>
          <cell r="C90" t="str">
            <v/>
          </cell>
          <cell r="D90">
            <v>0</v>
          </cell>
          <cell r="E90">
            <v>0</v>
          </cell>
          <cell r="F90">
            <v>0</v>
          </cell>
          <cell r="G90">
            <v>0</v>
          </cell>
          <cell r="H90">
            <v>0</v>
          </cell>
          <cell r="K90" t="e">
            <v>#VALUE!</v>
          </cell>
        </row>
        <row r="91">
          <cell r="B91" t="str">
            <v/>
          </cell>
          <cell r="C91" t="str">
            <v/>
          </cell>
          <cell r="D91">
            <v>0</v>
          </cell>
          <cell r="E91">
            <v>0</v>
          </cell>
          <cell r="F91">
            <v>0</v>
          </cell>
          <cell r="G91">
            <v>0</v>
          </cell>
          <cell r="H91">
            <v>0</v>
          </cell>
          <cell r="K91" t="e">
            <v>#VALUE!</v>
          </cell>
        </row>
        <row r="92">
          <cell r="B92" t="str">
            <v/>
          </cell>
          <cell r="C92" t="str">
            <v/>
          </cell>
          <cell r="D92">
            <v>0</v>
          </cell>
          <cell r="E92">
            <v>0</v>
          </cell>
          <cell r="F92">
            <v>0</v>
          </cell>
          <cell r="G92">
            <v>0</v>
          </cell>
          <cell r="H92">
            <v>0</v>
          </cell>
          <cell r="K92" t="e">
            <v>#VALUE!</v>
          </cell>
        </row>
        <row r="93">
          <cell r="B93" t="str">
            <v/>
          </cell>
          <cell r="C93" t="str">
            <v/>
          </cell>
          <cell r="D93">
            <v>0</v>
          </cell>
          <cell r="E93">
            <v>0</v>
          </cell>
          <cell r="F93">
            <v>0</v>
          </cell>
          <cell r="G93">
            <v>0</v>
          </cell>
          <cell r="H93">
            <v>0</v>
          </cell>
          <cell r="K93" t="e">
            <v>#VALUE!</v>
          </cell>
        </row>
        <row r="94">
          <cell r="B94" t="str">
            <v/>
          </cell>
          <cell r="C94" t="str">
            <v/>
          </cell>
          <cell r="D94">
            <v>0</v>
          </cell>
          <cell r="E94">
            <v>0</v>
          </cell>
          <cell r="F94">
            <v>0</v>
          </cell>
          <cell r="G94">
            <v>0</v>
          </cell>
          <cell r="H94">
            <v>0</v>
          </cell>
          <cell r="K94" t="e">
            <v>#VALUE!</v>
          </cell>
        </row>
        <row r="95">
          <cell r="B95" t="str">
            <v/>
          </cell>
          <cell r="C95" t="str">
            <v/>
          </cell>
          <cell r="D95">
            <v>0</v>
          </cell>
          <cell r="E95">
            <v>0</v>
          </cell>
          <cell r="F95">
            <v>0</v>
          </cell>
          <cell r="G95">
            <v>0</v>
          </cell>
          <cell r="H95">
            <v>0</v>
          </cell>
          <cell r="K95" t="e">
            <v>#VALUE!</v>
          </cell>
        </row>
        <row r="96">
          <cell r="B96" t="str">
            <v/>
          </cell>
          <cell r="C96" t="str">
            <v/>
          </cell>
          <cell r="D96">
            <v>0</v>
          </cell>
          <cell r="E96">
            <v>0</v>
          </cell>
          <cell r="F96">
            <v>0</v>
          </cell>
          <cell r="G96">
            <v>0</v>
          </cell>
          <cell r="H96">
            <v>0</v>
          </cell>
          <cell r="K96" t="e">
            <v>#VALUE!</v>
          </cell>
        </row>
        <row r="97">
          <cell r="B97" t="str">
            <v/>
          </cell>
          <cell r="C97" t="str">
            <v/>
          </cell>
          <cell r="D97">
            <v>0</v>
          </cell>
          <cell r="E97">
            <v>0</v>
          </cell>
          <cell r="F97">
            <v>0</v>
          </cell>
          <cell r="G97">
            <v>0</v>
          </cell>
          <cell r="H97">
            <v>0</v>
          </cell>
          <cell r="K97" t="e">
            <v>#VALUE!</v>
          </cell>
        </row>
        <row r="98">
          <cell r="B98" t="str">
            <v/>
          </cell>
          <cell r="C98" t="str">
            <v/>
          </cell>
          <cell r="D98">
            <v>0</v>
          </cell>
          <cell r="E98">
            <v>0</v>
          </cell>
          <cell r="F98">
            <v>0</v>
          </cell>
          <cell r="G98">
            <v>0</v>
          </cell>
          <cell r="H98">
            <v>0</v>
          </cell>
          <cell r="K98" t="e">
            <v>#VALUE!</v>
          </cell>
        </row>
        <row r="99">
          <cell r="B99" t="str">
            <v/>
          </cell>
          <cell r="C99" t="str">
            <v/>
          </cell>
          <cell r="D99">
            <v>0</v>
          </cell>
          <cell r="E99">
            <v>0</v>
          </cell>
          <cell r="F99">
            <v>0</v>
          </cell>
          <cell r="G99">
            <v>0</v>
          </cell>
          <cell r="H99">
            <v>0</v>
          </cell>
          <cell r="K99" t="e">
            <v>#VALUE!</v>
          </cell>
        </row>
        <row r="100">
          <cell r="B100" t="str">
            <v/>
          </cell>
          <cell r="C100" t="str">
            <v/>
          </cell>
          <cell r="D100">
            <v>0</v>
          </cell>
          <cell r="E100">
            <v>0</v>
          </cell>
          <cell r="F100">
            <v>0</v>
          </cell>
          <cell r="G100">
            <v>0</v>
          </cell>
          <cell r="H100">
            <v>0</v>
          </cell>
          <cell r="K100" t="e">
            <v>#VALUE!</v>
          </cell>
        </row>
        <row r="101">
          <cell r="B101" t="str">
            <v/>
          </cell>
          <cell r="C101" t="str">
            <v/>
          </cell>
          <cell r="D101">
            <v>0</v>
          </cell>
          <cell r="E101">
            <v>0</v>
          </cell>
          <cell r="F101">
            <v>0</v>
          </cell>
          <cell r="G101">
            <v>0</v>
          </cell>
          <cell r="H101">
            <v>0</v>
          </cell>
          <cell r="K101" t="e">
            <v>#VALUE!</v>
          </cell>
        </row>
        <row r="102">
          <cell r="B102" t="str">
            <v/>
          </cell>
          <cell r="C102" t="str">
            <v/>
          </cell>
          <cell r="D102">
            <v>0</v>
          </cell>
          <cell r="E102">
            <v>0</v>
          </cell>
          <cell r="F102">
            <v>0</v>
          </cell>
          <cell r="G102">
            <v>0</v>
          </cell>
          <cell r="H102">
            <v>0</v>
          </cell>
          <cell r="K102" t="e">
            <v>#VALUE!</v>
          </cell>
        </row>
        <row r="103">
          <cell r="B103" t="str">
            <v/>
          </cell>
          <cell r="C103" t="str">
            <v/>
          </cell>
          <cell r="D103">
            <v>0</v>
          </cell>
          <cell r="E103">
            <v>0</v>
          </cell>
          <cell r="F103">
            <v>0</v>
          </cell>
          <cell r="G103">
            <v>0</v>
          </cell>
          <cell r="H103">
            <v>0</v>
          </cell>
          <cell r="K103" t="e">
            <v>#VALUE!</v>
          </cell>
        </row>
        <row r="104">
          <cell r="B104" t="str">
            <v/>
          </cell>
          <cell r="C104" t="str">
            <v/>
          </cell>
          <cell r="D104">
            <v>0</v>
          </cell>
          <cell r="E104">
            <v>0</v>
          </cell>
          <cell r="F104">
            <v>0</v>
          </cell>
          <cell r="G104">
            <v>0</v>
          </cell>
          <cell r="H104">
            <v>0</v>
          </cell>
          <cell r="K104" t="e">
            <v>#VALUE!</v>
          </cell>
        </row>
        <row r="105">
          <cell r="B105" t="str">
            <v/>
          </cell>
          <cell r="C105" t="str">
            <v/>
          </cell>
          <cell r="D105">
            <v>0</v>
          </cell>
          <cell r="E105">
            <v>0</v>
          </cell>
          <cell r="F105">
            <v>0</v>
          </cell>
          <cell r="G105">
            <v>0</v>
          </cell>
          <cell r="H105">
            <v>0</v>
          </cell>
          <cell r="K105" t="e">
            <v>#VALUE!</v>
          </cell>
        </row>
        <row r="106">
          <cell r="B106" t="str">
            <v/>
          </cell>
          <cell r="C106" t="str">
            <v/>
          </cell>
          <cell r="D106">
            <v>0</v>
          </cell>
          <cell r="E106">
            <v>0</v>
          </cell>
          <cell r="F106">
            <v>0</v>
          </cell>
          <cell r="G106">
            <v>0</v>
          </cell>
          <cell r="H106">
            <v>0</v>
          </cell>
          <cell r="K106" t="e">
            <v>#VALUE!</v>
          </cell>
        </row>
        <row r="107">
          <cell r="B107" t="str">
            <v/>
          </cell>
          <cell r="C107" t="str">
            <v/>
          </cell>
          <cell r="D107">
            <v>0</v>
          </cell>
          <cell r="E107">
            <v>0</v>
          </cell>
          <cell r="F107">
            <v>0</v>
          </cell>
          <cell r="G107">
            <v>0</v>
          </cell>
          <cell r="H107">
            <v>0</v>
          </cell>
          <cell r="K107" t="e">
            <v>#VALUE!</v>
          </cell>
        </row>
        <row r="108">
          <cell r="B108" t="str">
            <v/>
          </cell>
          <cell r="C108" t="str">
            <v/>
          </cell>
          <cell r="D108">
            <v>0</v>
          </cell>
          <cell r="E108">
            <v>0</v>
          </cell>
          <cell r="F108">
            <v>0</v>
          </cell>
          <cell r="G108">
            <v>0</v>
          </cell>
          <cell r="H108">
            <v>0</v>
          </cell>
          <cell r="K108" t="e">
            <v>#VALUE!</v>
          </cell>
        </row>
        <row r="109">
          <cell r="B109" t="str">
            <v/>
          </cell>
          <cell r="C109" t="str">
            <v/>
          </cell>
          <cell r="D109">
            <v>0</v>
          </cell>
          <cell r="E109">
            <v>0</v>
          </cell>
          <cell r="F109">
            <v>0</v>
          </cell>
          <cell r="G109">
            <v>0</v>
          </cell>
          <cell r="H109">
            <v>0</v>
          </cell>
          <cell r="K109" t="e">
            <v>#VALUE!</v>
          </cell>
        </row>
        <row r="110">
          <cell r="B110" t="str">
            <v/>
          </cell>
          <cell r="C110" t="str">
            <v/>
          </cell>
          <cell r="D110">
            <v>0</v>
          </cell>
          <cell r="E110">
            <v>0</v>
          </cell>
          <cell r="F110">
            <v>0</v>
          </cell>
          <cell r="G110">
            <v>0</v>
          </cell>
          <cell r="H110">
            <v>0</v>
          </cell>
          <cell r="K110" t="e">
            <v>#VALUE!</v>
          </cell>
        </row>
        <row r="111">
          <cell r="B111" t="str">
            <v/>
          </cell>
          <cell r="C111" t="str">
            <v/>
          </cell>
          <cell r="D111">
            <v>0</v>
          </cell>
          <cell r="E111">
            <v>0</v>
          </cell>
          <cell r="F111">
            <v>0</v>
          </cell>
          <cell r="G111">
            <v>0</v>
          </cell>
          <cell r="H111">
            <v>0</v>
          </cell>
          <cell r="K111" t="e">
            <v>#VALUE!</v>
          </cell>
        </row>
        <row r="112">
          <cell r="B112" t="str">
            <v/>
          </cell>
          <cell r="C112" t="str">
            <v/>
          </cell>
          <cell r="D112">
            <v>0</v>
          </cell>
          <cell r="E112">
            <v>0</v>
          </cell>
          <cell r="F112">
            <v>0</v>
          </cell>
          <cell r="G112">
            <v>0</v>
          </cell>
          <cell r="H112">
            <v>0</v>
          </cell>
          <cell r="K112" t="e">
            <v>#VALUE!</v>
          </cell>
        </row>
        <row r="113">
          <cell r="B113" t="str">
            <v/>
          </cell>
          <cell r="C113" t="str">
            <v/>
          </cell>
          <cell r="D113">
            <v>0</v>
          </cell>
          <cell r="E113">
            <v>0</v>
          </cell>
          <cell r="F113">
            <v>0</v>
          </cell>
          <cell r="G113">
            <v>0</v>
          </cell>
          <cell r="H113">
            <v>0</v>
          </cell>
          <cell r="K113" t="e">
            <v>#VALUE!</v>
          </cell>
        </row>
        <row r="114">
          <cell r="B114" t="str">
            <v/>
          </cell>
          <cell r="C114" t="str">
            <v/>
          </cell>
          <cell r="D114">
            <v>0</v>
          </cell>
          <cell r="E114">
            <v>0</v>
          </cell>
          <cell r="F114">
            <v>0</v>
          </cell>
          <cell r="G114">
            <v>0</v>
          </cell>
          <cell r="H114">
            <v>0</v>
          </cell>
          <cell r="K114" t="e">
            <v>#VALUE!</v>
          </cell>
        </row>
        <row r="115">
          <cell r="B115" t="str">
            <v/>
          </cell>
          <cell r="C115" t="str">
            <v/>
          </cell>
          <cell r="D115">
            <v>0</v>
          </cell>
          <cell r="E115">
            <v>0</v>
          </cell>
          <cell r="F115">
            <v>0</v>
          </cell>
          <cell r="G115">
            <v>0</v>
          </cell>
          <cell r="H115">
            <v>0</v>
          </cell>
          <cell r="K115" t="e">
            <v>#VALUE!</v>
          </cell>
        </row>
        <row r="116">
          <cell r="B116" t="str">
            <v/>
          </cell>
          <cell r="C116" t="str">
            <v/>
          </cell>
          <cell r="D116">
            <v>0</v>
          </cell>
          <cell r="E116">
            <v>0</v>
          </cell>
          <cell r="F116">
            <v>0</v>
          </cell>
          <cell r="G116">
            <v>0</v>
          </cell>
          <cell r="H116">
            <v>0</v>
          </cell>
          <cell r="K116" t="e">
            <v>#VALUE!</v>
          </cell>
        </row>
        <row r="117">
          <cell r="B117" t="str">
            <v/>
          </cell>
          <cell r="C117" t="str">
            <v/>
          </cell>
          <cell r="D117">
            <v>0</v>
          </cell>
          <cell r="E117">
            <v>0</v>
          </cell>
          <cell r="F117">
            <v>0</v>
          </cell>
          <cell r="G117">
            <v>0</v>
          </cell>
          <cell r="H117">
            <v>0</v>
          </cell>
          <cell r="K117" t="e">
            <v>#VALUE!</v>
          </cell>
        </row>
        <row r="118">
          <cell r="B118" t="str">
            <v/>
          </cell>
          <cell r="C118" t="str">
            <v/>
          </cell>
          <cell r="D118">
            <v>0</v>
          </cell>
          <cell r="E118">
            <v>0</v>
          </cell>
          <cell r="F118">
            <v>0</v>
          </cell>
          <cell r="G118">
            <v>0</v>
          </cell>
          <cell r="H118">
            <v>0</v>
          </cell>
          <cell r="K118" t="e">
            <v>#VALUE!</v>
          </cell>
        </row>
        <row r="119">
          <cell r="B119" t="str">
            <v/>
          </cell>
          <cell r="C119" t="str">
            <v/>
          </cell>
          <cell r="D119">
            <v>0</v>
          </cell>
          <cell r="E119">
            <v>0</v>
          </cell>
          <cell r="F119">
            <v>0</v>
          </cell>
          <cell r="G119">
            <v>0</v>
          </cell>
          <cell r="H119">
            <v>0</v>
          </cell>
          <cell r="K119" t="e">
            <v>#VALUE!</v>
          </cell>
        </row>
        <row r="120">
          <cell r="B120" t="str">
            <v/>
          </cell>
          <cell r="C120" t="str">
            <v/>
          </cell>
          <cell r="D120">
            <v>0</v>
          </cell>
          <cell r="E120">
            <v>0</v>
          </cell>
          <cell r="F120">
            <v>0</v>
          </cell>
          <cell r="G120">
            <v>0</v>
          </cell>
          <cell r="H120">
            <v>0</v>
          </cell>
          <cell r="K120" t="e">
            <v>#VALUE!</v>
          </cell>
        </row>
        <row r="121">
          <cell r="B121" t="str">
            <v/>
          </cell>
          <cell r="C121" t="str">
            <v/>
          </cell>
          <cell r="D121">
            <v>0</v>
          </cell>
          <cell r="E121">
            <v>0</v>
          </cell>
          <cell r="F121">
            <v>0</v>
          </cell>
          <cell r="G121">
            <v>0</v>
          </cell>
          <cell r="H121">
            <v>0</v>
          </cell>
          <cell r="K121" t="e">
            <v>#VALUE!</v>
          </cell>
        </row>
        <row r="122">
          <cell r="B122" t="str">
            <v/>
          </cell>
          <cell r="C122" t="str">
            <v/>
          </cell>
          <cell r="D122">
            <v>0</v>
          </cell>
          <cell r="E122">
            <v>0</v>
          </cell>
          <cell r="F122">
            <v>0</v>
          </cell>
          <cell r="G122">
            <v>0</v>
          </cell>
          <cell r="H122">
            <v>0</v>
          </cell>
          <cell r="K122" t="e">
            <v>#VALUE!</v>
          </cell>
        </row>
        <row r="123">
          <cell r="B123" t="str">
            <v/>
          </cell>
          <cell r="C123" t="str">
            <v/>
          </cell>
          <cell r="D123">
            <v>0</v>
          </cell>
          <cell r="E123">
            <v>0</v>
          </cell>
          <cell r="F123">
            <v>0</v>
          </cell>
          <cell r="G123">
            <v>0</v>
          </cell>
          <cell r="H123">
            <v>0</v>
          </cell>
          <cell r="K123" t="e">
            <v>#VALUE!</v>
          </cell>
        </row>
        <row r="124">
          <cell r="B124" t="str">
            <v/>
          </cell>
          <cell r="C124" t="str">
            <v/>
          </cell>
          <cell r="D124">
            <v>0</v>
          </cell>
          <cell r="E124">
            <v>0</v>
          </cell>
          <cell r="F124">
            <v>0</v>
          </cell>
          <cell r="G124">
            <v>0</v>
          </cell>
          <cell r="H124">
            <v>0</v>
          </cell>
          <cell r="K124" t="e">
            <v>#VALUE!</v>
          </cell>
        </row>
        <row r="125">
          <cell r="B125" t="str">
            <v/>
          </cell>
          <cell r="C125" t="str">
            <v/>
          </cell>
          <cell r="D125">
            <v>0</v>
          </cell>
          <cell r="E125">
            <v>0</v>
          </cell>
          <cell r="F125">
            <v>0</v>
          </cell>
          <cell r="G125">
            <v>0</v>
          </cell>
          <cell r="H125">
            <v>0</v>
          </cell>
          <cell r="K125" t="e">
            <v>#VALUE!</v>
          </cell>
        </row>
        <row r="126">
          <cell r="B126" t="str">
            <v/>
          </cell>
          <cell r="C126" t="str">
            <v/>
          </cell>
          <cell r="D126">
            <v>0</v>
          </cell>
          <cell r="E126">
            <v>0</v>
          </cell>
          <cell r="F126">
            <v>0</v>
          </cell>
          <cell r="G126">
            <v>0</v>
          </cell>
          <cell r="H126">
            <v>0</v>
          </cell>
          <cell r="K126" t="e">
            <v>#VALUE!</v>
          </cell>
        </row>
        <row r="127">
          <cell r="B127" t="str">
            <v/>
          </cell>
          <cell r="C127" t="str">
            <v/>
          </cell>
          <cell r="D127">
            <v>0</v>
          </cell>
          <cell r="E127">
            <v>0</v>
          </cell>
          <cell r="F127">
            <v>0</v>
          </cell>
          <cell r="G127">
            <v>0</v>
          </cell>
          <cell r="H127">
            <v>0</v>
          </cell>
          <cell r="K127" t="e">
            <v>#VALUE!</v>
          </cell>
        </row>
        <row r="128">
          <cell r="B128" t="str">
            <v/>
          </cell>
          <cell r="C128" t="str">
            <v/>
          </cell>
          <cell r="D128">
            <v>0</v>
          </cell>
          <cell r="E128">
            <v>0</v>
          </cell>
          <cell r="F128">
            <v>0</v>
          </cell>
          <cell r="G128">
            <v>0</v>
          </cell>
          <cell r="H128">
            <v>0</v>
          </cell>
          <cell r="K128" t="e">
            <v>#VALUE!</v>
          </cell>
        </row>
        <row r="129">
          <cell r="B129" t="str">
            <v/>
          </cell>
          <cell r="C129" t="str">
            <v/>
          </cell>
          <cell r="D129">
            <v>0</v>
          </cell>
          <cell r="E129">
            <v>0</v>
          </cell>
          <cell r="F129">
            <v>0</v>
          </cell>
          <cell r="G129">
            <v>0</v>
          </cell>
          <cell r="H129">
            <v>0</v>
          </cell>
          <cell r="K129" t="e">
            <v>#VALUE!</v>
          </cell>
        </row>
        <row r="130">
          <cell r="B130" t="str">
            <v/>
          </cell>
          <cell r="C130" t="str">
            <v/>
          </cell>
          <cell r="D130">
            <v>0</v>
          </cell>
          <cell r="E130">
            <v>0</v>
          </cell>
          <cell r="F130">
            <v>0</v>
          </cell>
          <cell r="G130">
            <v>0</v>
          </cell>
          <cell r="H130">
            <v>0</v>
          </cell>
          <cell r="K130" t="e">
            <v>#VALUE!</v>
          </cell>
        </row>
        <row r="131">
          <cell r="B131" t="str">
            <v/>
          </cell>
          <cell r="C131" t="str">
            <v/>
          </cell>
          <cell r="D131">
            <v>0</v>
          </cell>
          <cell r="E131">
            <v>0</v>
          </cell>
          <cell r="F131">
            <v>0</v>
          </cell>
          <cell r="G131">
            <v>0</v>
          </cell>
          <cell r="H131">
            <v>0</v>
          </cell>
          <cell r="K131" t="e">
            <v>#VALUE!</v>
          </cell>
        </row>
        <row r="132">
          <cell r="B132" t="str">
            <v/>
          </cell>
          <cell r="C132" t="str">
            <v/>
          </cell>
          <cell r="D132">
            <v>0</v>
          </cell>
          <cell r="E132">
            <v>0</v>
          </cell>
          <cell r="F132">
            <v>0</v>
          </cell>
          <cell r="G132">
            <v>0</v>
          </cell>
          <cell r="H132">
            <v>0</v>
          </cell>
          <cell r="K132" t="e">
            <v>#VALUE!</v>
          </cell>
        </row>
        <row r="133">
          <cell r="B133" t="str">
            <v/>
          </cell>
          <cell r="C133" t="str">
            <v/>
          </cell>
          <cell r="D133">
            <v>0</v>
          </cell>
          <cell r="E133">
            <v>0</v>
          </cell>
          <cell r="F133">
            <v>0</v>
          </cell>
          <cell r="G133">
            <v>0</v>
          </cell>
          <cell r="H133">
            <v>0</v>
          </cell>
          <cell r="K133" t="e">
            <v>#VALUE!</v>
          </cell>
        </row>
        <row r="134">
          <cell r="B134" t="str">
            <v/>
          </cell>
          <cell r="C134" t="str">
            <v/>
          </cell>
          <cell r="D134">
            <v>0</v>
          </cell>
          <cell r="E134">
            <v>0</v>
          </cell>
          <cell r="F134">
            <v>0</v>
          </cell>
          <cell r="G134">
            <v>0</v>
          </cell>
          <cell r="H134">
            <v>0</v>
          </cell>
          <cell r="K134" t="e">
            <v>#VALUE!</v>
          </cell>
        </row>
        <row r="135">
          <cell r="B135" t="str">
            <v/>
          </cell>
          <cell r="C135" t="str">
            <v/>
          </cell>
          <cell r="D135">
            <v>0</v>
          </cell>
          <cell r="E135">
            <v>0</v>
          </cell>
          <cell r="F135">
            <v>0</v>
          </cell>
          <cell r="G135">
            <v>0</v>
          </cell>
          <cell r="H135">
            <v>0</v>
          </cell>
          <cell r="K135" t="e">
            <v>#VALUE!</v>
          </cell>
        </row>
        <row r="136">
          <cell r="B136" t="str">
            <v/>
          </cell>
          <cell r="C136" t="str">
            <v/>
          </cell>
          <cell r="D136">
            <v>0</v>
          </cell>
          <cell r="E136">
            <v>0</v>
          </cell>
          <cell r="F136">
            <v>0</v>
          </cell>
          <cell r="G136">
            <v>0</v>
          </cell>
          <cell r="H136">
            <v>0</v>
          </cell>
          <cell r="K136" t="e">
            <v>#VALUE!</v>
          </cell>
        </row>
        <row r="137">
          <cell r="B137" t="str">
            <v/>
          </cell>
          <cell r="C137" t="str">
            <v/>
          </cell>
          <cell r="D137">
            <v>0</v>
          </cell>
          <cell r="E137">
            <v>0</v>
          </cell>
          <cell r="F137">
            <v>0</v>
          </cell>
          <cell r="G137">
            <v>0</v>
          </cell>
          <cell r="H137">
            <v>0</v>
          </cell>
          <cell r="K137" t="e">
            <v>#VALUE!</v>
          </cell>
        </row>
        <row r="138">
          <cell r="B138" t="str">
            <v/>
          </cell>
          <cell r="C138" t="str">
            <v/>
          </cell>
          <cell r="D138">
            <v>0</v>
          </cell>
          <cell r="E138">
            <v>0</v>
          </cell>
          <cell r="F138">
            <v>0</v>
          </cell>
          <cell r="G138">
            <v>0</v>
          </cell>
          <cell r="H138">
            <v>0</v>
          </cell>
          <cell r="K138" t="e">
            <v>#VALUE!</v>
          </cell>
        </row>
        <row r="139">
          <cell r="B139" t="str">
            <v/>
          </cell>
          <cell r="C139" t="str">
            <v/>
          </cell>
          <cell r="D139">
            <v>0</v>
          </cell>
          <cell r="E139">
            <v>0</v>
          </cell>
          <cell r="F139">
            <v>0</v>
          </cell>
          <cell r="G139">
            <v>0</v>
          </cell>
          <cell r="H139">
            <v>0</v>
          </cell>
          <cell r="K139" t="e">
            <v>#VALUE!</v>
          </cell>
        </row>
        <row r="140">
          <cell r="B140" t="str">
            <v/>
          </cell>
          <cell r="C140" t="str">
            <v/>
          </cell>
          <cell r="D140">
            <v>0</v>
          </cell>
          <cell r="E140">
            <v>0</v>
          </cell>
          <cell r="F140">
            <v>0</v>
          </cell>
          <cell r="G140">
            <v>0</v>
          </cell>
          <cell r="H140">
            <v>0</v>
          </cell>
          <cell r="K140" t="e">
            <v>#VALUE!</v>
          </cell>
        </row>
        <row r="141">
          <cell r="B141" t="str">
            <v/>
          </cell>
          <cell r="C141" t="str">
            <v/>
          </cell>
          <cell r="D141">
            <v>0</v>
          </cell>
          <cell r="E141">
            <v>0</v>
          </cell>
          <cell r="F141">
            <v>0</v>
          </cell>
          <cell r="G141">
            <v>0</v>
          </cell>
          <cell r="H141">
            <v>0</v>
          </cell>
          <cell r="K141" t="e">
            <v>#VALUE!</v>
          </cell>
        </row>
        <row r="142">
          <cell r="B142" t="str">
            <v/>
          </cell>
          <cell r="C142" t="str">
            <v/>
          </cell>
          <cell r="D142">
            <v>0</v>
          </cell>
          <cell r="E142">
            <v>0</v>
          </cell>
          <cell r="F142">
            <v>0</v>
          </cell>
          <cell r="G142">
            <v>0</v>
          </cell>
          <cell r="H142">
            <v>0</v>
          </cell>
          <cell r="K142" t="e">
            <v>#VALUE!</v>
          </cell>
        </row>
        <row r="143">
          <cell r="B143" t="str">
            <v/>
          </cell>
          <cell r="C143" t="str">
            <v/>
          </cell>
          <cell r="D143">
            <v>0</v>
          </cell>
          <cell r="E143">
            <v>0</v>
          </cell>
          <cell r="F143">
            <v>0</v>
          </cell>
          <cell r="G143">
            <v>0</v>
          </cell>
          <cell r="H143">
            <v>0</v>
          </cell>
          <cell r="K143" t="e">
            <v>#VALUE!</v>
          </cell>
        </row>
        <row r="144">
          <cell r="B144" t="str">
            <v/>
          </cell>
          <cell r="C144" t="str">
            <v/>
          </cell>
          <cell r="D144">
            <v>0</v>
          </cell>
          <cell r="E144">
            <v>0</v>
          </cell>
          <cell r="F144">
            <v>0</v>
          </cell>
          <cell r="G144">
            <v>0</v>
          </cell>
          <cell r="H144">
            <v>0</v>
          </cell>
          <cell r="K144" t="e">
            <v>#VALUE!</v>
          </cell>
        </row>
        <row r="145">
          <cell r="B145" t="str">
            <v/>
          </cell>
          <cell r="C145" t="str">
            <v/>
          </cell>
          <cell r="D145">
            <v>0</v>
          </cell>
          <cell r="E145">
            <v>0</v>
          </cell>
          <cell r="F145">
            <v>0</v>
          </cell>
          <cell r="G145">
            <v>0</v>
          </cell>
          <cell r="H145">
            <v>0</v>
          </cell>
          <cell r="K145" t="e">
            <v>#VALUE!</v>
          </cell>
        </row>
        <row r="146">
          <cell r="B146" t="str">
            <v/>
          </cell>
          <cell r="C146" t="str">
            <v/>
          </cell>
          <cell r="D146">
            <v>0</v>
          </cell>
          <cell r="E146">
            <v>0</v>
          </cell>
          <cell r="F146">
            <v>0</v>
          </cell>
          <cell r="G146">
            <v>0</v>
          </cell>
          <cell r="H146">
            <v>0</v>
          </cell>
          <cell r="K146" t="e">
            <v>#VALUE!</v>
          </cell>
        </row>
        <row r="147">
          <cell r="B147" t="str">
            <v/>
          </cell>
          <cell r="C147" t="str">
            <v/>
          </cell>
          <cell r="D147">
            <v>0</v>
          </cell>
          <cell r="E147">
            <v>0</v>
          </cell>
          <cell r="F147">
            <v>0</v>
          </cell>
          <cell r="G147">
            <v>0</v>
          </cell>
          <cell r="H147">
            <v>0</v>
          </cell>
          <cell r="K147" t="e">
            <v>#VALUE!</v>
          </cell>
        </row>
        <row r="148">
          <cell r="B148" t="str">
            <v/>
          </cell>
          <cell r="C148" t="str">
            <v/>
          </cell>
          <cell r="D148">
            <v>0</v>
          </cell>
          <cell r="E148">
            <v>0</v>
          </cell>
          <cell r="F148">
            <v>0</v>
          </cell>
          <cell r="G148">
            <v>0</v>
          </cell>
          <cell r="H148">
            <v>0</v>
          </cell>
          <cell r="K148" t="e">
            <v>#VALUE!</v>
          </cell>
        </row>
        <row r="149">
          <cell r="B149" t="str">
            <v/>
          </cell>
          <cell r="C149" t="str">
            <v/>
          </cell>
          <cell r="D149">
            <v>0</v>
          </cell>
          <cell r="E149">
            <v>0</v>
          </cell>
          <cell r="F149">
            <v>0</v>
          </cell>
          <cell r="G149">
            <v>0</v>
          </cell>
          <cell r="H149">
            <v>0</v>
          </cell>
          <cell r="K149" t="e">
            <v>#VALUE!</v>
          </cell>
        </row>
        <row r="150">
          <cell r="B150" t="str">
            <v/>
          </cell>
          <cell r="C150" t="str">
            <v/>
          </cell>
          <cell r="D150">
            <v>0</v>
          </cell>
          <cell r="E150">
            <v>0</v>
          </cell>
          <cell r="F150">
            <v>0</v>
          </cell>
          <cell r="G150">
            <v>0</v>
          </cell>
          <cell r="H150">
            <v>0</v>
          </cell>
          <cell r="K150" t="e">
            <v>#VALUE!</v>
          </cell>
        </row>
        <row r="151">
          <cell r="B151" t="str">
            <v/>
          </cell>
          <cell r="C151" t="str">
            <v/>
          </cell>
          <cell r="D151">
            <v>0</v>
          </cell>
          <cell r="E151">
            <v>0</v>
          </cell>
          <cell r="F151">
            <v>0</v>
          </cell>
          <cell r="G151">
            <v>0</v>
          </cell>
          <cell r="H151">
            <v>0</v>
          </cell>
          <cell r="K151" t="e">
            <v>#VALUE!</v>
          </cell>
        </row>
        <row r="152">
          <cell r="B152" t="str">
            <v/>
          </cell>
          <cell r="C152" t="str">
            <v/>
          </cell>
          <cell r="D152">
            <v>0</v>
          </cell>
          <cell r="E152">
            <v>0</v>
          </cell>
          <cell r="F152">
            <v>0</v>
          </cell>
          <cell r="G152">
            <v>0</v>
          </cell>
          <cell r="H152">
            <v>0</v>
          </cell>
          <cell r="K152" t="e">
            <v>#VALUE!</v>
          </cell>
        </row>
        <row r="153">
          <cell r="B153" t="str">
            <v/>
          </cell>
          <cell r="C153" t="str">
            <v/>
          </cell>
          <cell r="D153">
            <v>0</v>
          </cell>
          <cell r="E153">
            <v>0</v>
          </cell>
          <cell r="F153">
            <v>0</v>
          </cell>
          <cell r="G153">
            <v>0</v>
          </cell>
          <cell r="H153">
            <v>0</v>
          </cell>
          <cell r="K153" t="e">
            <v>#VALUE!</v>
          </cell>
        </row>
        <row r="154">
          <cell r="B154" t="str">
            <v/>
          </cell>
          <cell r="C154" t="str">
            <v/>
          </cell>
          <cell r="D154">
            <v>0</v>
          </cell>
          <cell r="E154">
            <v>0</v>
          </cell>
          <cell r="F154">
            <v>0</v>
          </cell>
          <cell r="G154">
            <v>0</v>
          </cell>
          <cell r="H154">
            <v>0</v>
          </cell>
          <cell r="K154" t="e">
            <v>#VALUE!</v>
          </cell>
        </row>
        <row r="155">
          <cell r="B155" t="str">
            <v/>
          </cell>
          <cell r="C155" t="str">
            <v/>
          </cell>
          <cell r="D155">
            <v>0</v>
          </cell>
          <cell r="E155">
            <v>0</v>
          </cell>
          <cell r="F155">
            <v>0</v>
          </cell>
          <cell r="G155">
            <v>0</v>
          </cell>
          <cell r="H155">
            <v>0</v>
          </cell>
          <cell r="K155" t="e">
            <v>#VALUE!</v>
          </cell>
        </row>
        <row r="156">
          <cell r="B156" t="str">
            <v/>
          </cell>
          <cell r="C156" t="str">
            <v/>
          </cell>
          <cell r="D156">
            <v>0</v>
          </cell>
          <cell r="E156">
            <v>0</v>
          </cell>
          <cell r="F156">
            <v>0</v>
          </cell>
          <cell r="G156">
            <v>0</v>
          </cell>
          <cell r="H156">
            <v>0</v>
          </cell>
          <cell r="K156" t="e">
            <v>#VALUE!</v>
          </cell>
        </row>
        <row r="157">
          <cell r="B157" t="str">
            <v/>
          </cell>
          <cell r="C157" t="str">
            <v/>
          </cell>
          <cell r="D157">
            <v>0</v>
          </cell>
          <cell r="E157">
            <v>0</v>
          </cell>
          <cell r="F157">
            <v>0</v>
          </cell>
          <cell r="G157">
            <v>0</v>
          </cell>
          <cell r="H157">
            <v>0</v>
          </cell>
          <cell r="K157" t="e">
            <v>#VALUE!</v>
          </cell>
        </row>
        <row r="158">
          <cell r="B158" t="str">
            <v/>
          </cell>
          <cell r="C158" t="str">
            <v/>
          </cell>
          <cell r="D158">
            <v>0</v>
          </cell>
          <cell r="E158">
            <v>0</v>
          </cell>
          <cell r="F158">
            <v>0</v>
          </cell>
          <cell r="G158">
            <v>0</v>
          </cell>
          <cell r="H158">
            <v>0</v>
          </cell>
          <cell r="K158" t="e">
            <v>#VALUE!</v>
          </cell>
        </row>
        <row r="159">
          <cell r="B159" t="str">
            <v/>
          </cell>
          <cell r="C159" t="str">
            <v/>
          </cell>
          <cell r="D159">
            <v>0</v>
          </cell>
          <cell r="E159">
            <v>0</v>
          </cell>
          <cell r="F159">
            <v>0</v>
          </cell>
          <cell r="G159">
            <v>0</v>
          </cell>
          <cell r="H159">
            <v>0</v>
          </cell>
          <cell r="K159" t="e">
            <v>#VALUE!</v>
          </cell>
        </row>
      </sheetData>
      <sheetData sheetId="9"/>
      <sheetData sheetId="10"/>
      <sheetData sheetId="11"/>
      <sheetData sheetId="12"/>
      <sheetData sheetId="13"/>
      <sheetData sheetId="14"/>
      <sheetData sheetId="15"/>
      <sheetData sheetId="1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i aggreg"/>
      <sheetName val="NewCo"/>
      <sheetName val="Ipotesi di base"/>
      <sheetName val="Acquisizione ENI"/>
      <sheetName val="Cess. rete Snam"/>
      <sheetName val="Cess. petrolchimica"/>
      <sheetName val="Cess. Ing. e Serv."/>
      <sheetName val="Cess. Imm."/>
      <sheetName val="Frcst base"/>
      <sheetName val="Frcst per attività"/>
      <sheetName val="Imm., CCN, Fondi, PFN"/>
      <sheetName val="Imposte su plusvalenze"/>
    </sheetNames>
    <sheetDataSet>
      <sheetData sheetId="0" refreshError="1"/>
      <sheetData sheetId="1" refreshError="1"/>
      <sheetData sheetId="2" refreshError="1">
        <row r="12">
          <cell r="M12">
            <v>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ase"/>
      <sheetName val="Comparazioni"/>
      <sheetName val="Negative Case"/>
      <sheetName val="Cosmint"/>
      <sheetName val="Cosmint 2"/>
      <sheetName val="Gaggiano"/>
      <sheetName val="Base Case 1 G Lease Civil."/>
      <sheetName val="Base Case LE 24_01"/>
      <sheetName val="Base Case LE 27_02"/>
      <sheetName val="Base Case LE 13_06"/>
      <sheetName val="Base Case LE 13_06 IAS17"/>
      <sheetName val="Base Case 27_02_04RL"/>
      <sheetName val="Base Case 27_02_04RL IAS17"/>
      <sheetName val="Base Inglese"/>
      <sheetName val="Base IAS17 Inglese"/>
      <sheetName val="COsi"/>
      <sheetName val="Sensitivity"/>
      <sheetName val="Emolumenti"/>
      <sheetName val="Emolumenti rivisti Fr"/>
      <sheetName val="Civilistico"/>
      <sheetName val="Valutazione mista"/>
      <sheetName val="Valutazione finanziaria"/>
      <sheetName val="Costi generali e servizi"/>
      <sheetName val="Analisi infra anno"/>
      <sheetName val="Leasing"/>
      <sheetName val="Dati info memo"/>
      <sheetName val="Atkinsons"/>
      <sheetName val="ABC"/>
      <sheetName val="Altri FS"/>
      <sheetName val="Riassuntivo"/>
      <sheetName val="Clienti"/>
      <sheetName val="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di base"/>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CF Output --&gt;"/>
      <sheetName val="Thor Group DCF"/>
      <sheetName val="Thor AG dcf"/>
      <sheetName val="Thor FCF"/>
      <sheetName val="IS, BS, CFS --&gt;"/>
      <sheetName val="thor P&amp;L"/>
      <sheetName val="balance sheet"/>
      <sheetName val="Thor Cash Flow "/>
      <sheetName val="thor capex"/>
      <sheetName val="Ratios"/>
      <sheetName val="Assumptions + Rev Model --&gt;"/>
      <sheetName val="macroecon"/>
      <sheetName val="mkt demand scenarios"/>
      <sheetName val="energy demand"/>
      <sheetName val="gas demand"/>
      <sheetName val="thor gas prices"/>
      <sheetName val="border price scenarios"/>
      <sheetName val="thor demand scenarios"/>
      <sheetName val="thor gas sales (volume)"/>
      <sheetName val="Thor Sales (DM)"/>
      <sheetName val="pfennig margins"/>
      <sheetName val="thor margins"/>
      <sheetName val="thor cogs "/>
      <sheetName val="thor sourcing"/>
      <sheetName val="Affiliates --&gt;"/>
      <sheetName val="Con. Affiliate DCF"/>
      <sheetName val="Cons. Affiliate CFs"/>
      <sheetName val="Misc. --&gt;"/>
      <sheetName val="summary gas sales"/>
      <sheetName val="summary margins"/>
      <sheetName val="Sensitivities"/>
      <sheetName val="Graph_SummSales"/>
      <sheetName val="Graph_SummMargins"/>
      <sheetName val="Pr_Vol_Growth"/>
      <sheetName val="template"/>
      <sheetName val="worksheet"/>
    </sheetNames>
    <sheetDataSet>
      <sheetData sheetId="0" refreshError="1">
        <row r="22">
          <cell r="G22">
            <v>15</v>
          </cell>
        </row>
        <row r="23">
          <cell r="G23">
            <v>15</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Overview Implied  (2)"/>
      <sheetName val="Graph Data"/>
      <sheetName val="Chart1"/>
      <sheetName val="Pricing Matrix (use this)"/>
      <sheetName val="Comps Inputs"/>
      <sheetName val="Comps Output"/>
      <sheetName val="CC-Implied Valuation"/>
      <sheetName val="M&amp;A"/>
      <sheetName val="M&amp;A-Implied Valuation"/>
      <sheetName val="Valuation Overview Implied 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Inputs"/>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mp;L Summ"/>
      <sheetName val="BS"/>
      <sheetName val="CFS"/>
      <sheetName val="P&amp;L Summ Quarterly"/>
      <sheetName val="P&amp;L Summ Finland &amp; France"/>
      <sheetName val="Operational Balance Sheets"/>
      <sheetName val="WORKING CAPITAL "/>
      <sheetName val="QUARTERLY CF "/>
      <sheetName val="DA Quarterly P&amp;L"/>
      <sheetName val="EDA Quarterly P&amp;L"/>
      <sheetName val="Print Quarterly P&amp;L"/>
      <sheetName val="Infobase + IT Quarterly P&amp;L"/>
      <sheetName val="Int. HQ Quarterly P&amp;L"/>
      <sheetName val="HQ Quarterly P&amp;L"/>
      <sheetName val="P&amp;L DA"/>
      <sheetName val="P&amp;L EDA"/>
      <sheetName val="P&amp;L Print"/>
      <sheetName val="P&amp;L Infobase+IT"/>
      <sheetName val="P&amp;L Int.HQ"/>
      <sheetName val="P&amp;L Corp HQ"/>
      <sheetName val="Macro"/>
      <sheetName val="Market"/>
      <sheetName val="Price"/>
      <sheetName val="Opex"/>
      <sheetName val="Rev"/>
      <sheetName val="Pers"/>
      <sheetName val="Capex"/>
      <sheetName val="QUARTERLY Capex"/>
      <sheetName val="Depr"/>
      <sheetName val="DA Quarterly assumptions"/>
      <sheetName val="EDA Quarterly assumptions"/>
      <sheetName val="Print Quarterly assumptions"/>
      <sheetName val="Infobase+IT Quarterly assumpt."/>
      <sheetName val="Int. HQ Quarterly assumptions"/>
      <sheetName val="HQ Quarterly assumptios"/>
      <sheetName val="Quarterly revenues by BL"/>
      <sheetName val="Quarterly COSTS by BL"/>
      <sheetName val="WORKING CAPITAL"/>
      <sheetName val="Balance Sheets Work Sheet"/>
      <sheetName val="Check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UserGuide"/>
      <sheetName val="Info"/>
      <sheetName val="DCF"/>
      <sheetName val="IS"/>
      <sheetName val="PFBS"/>
      <sheetName val="PFIS"/>
      <sheetName val="BS"/>
      <sheetName val="CF"/>
      <sheetName val="Debt"/>
      <sheetName val="CreditStat"/>
      <sheetName val="Pricing Matrix"/>
      <sheetName val="Pricing Matrix (2)"/>
      <sheetName val="Shareholder"/>
      <sheetName val="Compsum"/>
      <sheetName val="Comps"/>
      <sheetName val="Comps2"/>
      <sheetName val="WACC"/>
      <sheetName val="ValSumm"/>
      <sheetName val="ValHiLoGraph"/>
      <sheetName val="Target"/>
      <sheetName val="Acquiror"/>
      <sheetName val="Merger"/>
      <sheetName val="lbo"/>
      <sheetName val="lboPFIS"/>
      <sheetName val="lboIS"/>
      <sheetName val="lboPFBS"/>
      <sheetName val="lboBS"/>
      <sheetName val="lboCF"/>
      <sheetName val="lboDebt"/>
      <sheetName val="lboCreditStat"/>
      <sheetName val="lboIRR"/>
    </sheetNames>
    <sheetDataSet>
      <sheetData sheetId="0" refreshError="1"/>
      <sheetData sheetId="1" refreshError="1"/>
      <sheetData sheetId="2" refreshError="1">
        <row r="3">
          <cell r="C3" t="str">
            <v>PROJECT RICE</v>
          </cell>
        </row>
        <row r="8">
          <cell r="C8" t="str">
            <v>(Figures in Millions, Except Per Share Data)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ase"/>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tazione DCF"/>
      <sheetName val="Sensititity"/>
      <sheetName val="Schemi sintesi"/>
      <sheetName val="Cash Flow"/>
      <sheetName val="Ipotesi"/>
      <sheetName val="Wac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_Fin"/>
      <sheetName val="Summary"/>
      <sheetName val="Financing Structure"/>
      <sheetName val="__FDSCACHE__CELL__"/>
      <sheetName val="Assumptions"/>
      <sheetName val="P&amp;L"/>
      <sheetName val="B-S"/>
      <sheetName val="C-F"/>
      <sheetName val="IRR"/>
      <sheetName val="Debt Schedule"/>
      <sheetName val="IRR Sensitivities"/>
    </sheetNames>
    <sheetDataSet>
      <sheetData sheetId="0">
        <row r="13">
          <cell r="B13" t="str">
            <v>Project PETER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ink"/>
      <sheetName val="Summary post profit warning"/>
      <sheetName val="National Starch"/>
      <sheetName val="Quest"/>
      <sheetName val="Paints"/>
      <sheetName val="Uniqema"/>
      <sheetName val="National Starch (Profit warn)"/>
      <sheetName val="Quest (Profit warning)"/>
      <sheetName val="Uniqema (Profit warning)"/>
      <sheetName val="Paints (Profit warning)"/>
    </sheetNames>
    <sheetDataSet>
      <sheetData sheetId="0">
        <row r="65">
          <cell r="E65">
            <v>0.36</v>
          </cell>
        </row>
      </sheetData>
      <sheetData sheetId="1"/>
      <sheetData sheetId="2"/>
      <sheetData sheetId="3"/>
      <sheetData sheetId="4"/>
      <sheetData sheetId="5"/>
      <sheetData sheetId="6"/>
      <sheetData sheetId="7"/>
      <sheetData sheetId="8"/>
      <sheetData sheetId="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ink"/>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ink"/>
      <sheetName val="Summary post profit warning"/>
      <sheetName val="National Starch"/>
      <sheetName val="Quest"/>
      <sheetName val="Paints"/>
      <sheetName val="Uniqema"/>
      <sheetName val="National Starch (Profit warn)"/>
      <sheetName val="Quest (Profit warning)"/>
      <sheetName val="Uniqema (Profit warning)"/>
      <sheetName val="Paints (Profit warning)"/>
    </sheetNames>
    <sheetDataSet>
      <sheetData sheetId="0">
        <row r="64">
          <cell r="E64">
            <v>0.13</v>
          </cell>
        </row>
      </sheetData>
      <sheetData sheetId="1"/>
      <sheetData sheetId="2"/>
      <sheetData sheetId="3"/>
      <sheetData sheetId="4"/>
      <sheetData sheetId="5"/>
      <sheetData sheetId="6"/>
      <sheetData sheetId="7"/>
      <sheetData sheetId="8"/>
      <sheetData sheetId="9"/>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ink"/>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FUFH.XLS"/>
      <sheetName val="P&amp;LFUFH"/>
    </sheetNames>
    <definedNames>
      <definedName name="QuickPrintFluidHandling"/>
      <definedName name="QuickPrintFuel"/>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HiLoGraph"/>
      <sheetName val="Valuation"/>
      <sheetName val="Trading-Mult "/>
      <sheetName val="Cash Flow"/>
      <sheetName val="Trading-Cap"/>
      <sheetName val="WACC"/>
      <sheetName val="Inputs-CC"/>
      <sheetName val="Trading-Inc"/>
      <sheetName val="DCF"/>
      <sheetName val="DCF_Input"/>
      <sheetName val="Target"/>
      <sheetName val="Acquiror"/>
      <sheetName val="Merger"/>
      <sheetName val="Summary"/>
      <sheetName val="Profile_Presentation"/>
    </sheetNames>
    <sheetDataSet>
      <sheetData sheetId="0"/>
      <sheetData sheetId="1"/>
      <sheetData sheetId="2"/>
      <sheetData sheetId="3"/>
      <sheetData sheetId="4"/>
      <sheetData sheetId="5"/>
      <sheetData sheetId="6"/>
      <sheetData sheetId="7"/>
      <sheetData sheetId="8"/>
      <sheetData sheetId="9"/>
      <sheetData sheetId="10"/>
      <sheetData sheetId="11" refreshError="1">
        <row r="9">
          <cell r="C9">
            <v>40</v>
          </cell>
        </row>
      </sheetData>
      <sheetData sheetId="12"/>
      <sheetData sheetId="13"/>
      <sheetData sheetId="1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FUFH.XLS"/>
      <sheetName val="P&amp;LFUFH"/>
    </sheetNames>
    <definedNames>
      <definedName name="QuickPrintFluidHandling" refersTo="#RIF!"/>
      <definedName name="QuickPrintFuel" refersTo="#RIF!"/>
    </defined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aggiunte"/>
      <sheetName val="Contents"/>
      <sheetName val="Business Plan checklist"/>
      <sheetName val="Financial liabilities"/>
      <sheetName val="Income Statement"/>
      <sheetName val="Balance Sheet"/>
      <sheetName val="Balance Sheet Variation"/>
      <sheetName val="Cash Flow Statement"/>
      <sheetName val="Ratio Analysis"/>
      <sheetName val="Operating leverage&amp;Cash Flow"/>
      <sheetName val="Sales - Sensitivity Analysis"/>
      <sheetName val="Ratios "/>
      <sheetName val="Operating Leverage"/>
      <sheetName val="Macro Variables"/>
      <sheetName val="Macro Variables (2)"/>
      <sheetName val="NPV, IRR, payback"/>
      <sheetName val="Evaluation Model"/>
      <sheetName val="Dividend growth"/>
      <sheetName val="Rating "/>
      <sheetName val="Price-BV"/>
      <sheetName val="Other input data"/>
      <sheetName val="1 - NewFCFEStableGrowth"/>
      <sheetName val="2 - NewFCFFStableGrowth"/>
      <sheetName val="3 - Exhibit 1"/>
      <sheetName val="4 - WACC"/>
      <sheetName val="5 - Cash Flow Valuation Model"/>
      <sheetName val="drop down men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
          <cell r="B3" t="str">
            <v>Yes</v>
          </cell>
        </row>
        <row r="4">
          <cell r="B4" t="str">
            <v>No</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amp; Uses"/>
      <sheetName val="Seat Group"/>
      <sheetName val="BidCo1"/>
      <sheetName val="Financing Proposals"/>
      <sheetName val="Structure"/>
      <sheetName val="To Dos"/>
    </sheetNames>
    <sheetDataSet>
      <sheetData sheetId="0" refreshError="1">
        <row r="12">
          <cell r="Z12">
            <v>0.62981025552078673</v>
          </cell>
        </row>
      </sheetData>
      <sheetData sheetId="1" refreshError="1"/>
      <sheetData sheetId="2" refreshError="1"/>
      <sheetData sheetId="3" refreshError="1"/>
      <sheetData sheetId="4" refreshError="1"/>
      <sheetData sheetId="5"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amp; Uses"/>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otes"/>
      <sheetName val="ELTA"/>
    </sheetNames>
    <sheetDataSet>
      <sheetData sheetId="0"/>
      <sheetData sheetId="1"/>
      <sheetData sheetId="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T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uiro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lish Business Plan 23 ottobr"/>
      <sheetName val="Piano ammortamento prestito"/>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Value-Driver-Tree"/>
      <sheetName val="EVA-Chart"/>
      <sheetName val="Cost of Capital"/>
      <sheetName val="Income Statement"/>
      <sheetName val="Assets"/>
      <sheetName val="Sales &amp; var. cost of goods sold"/>
      <sheetName val="Overhead"/>
      <sheetName val="Other Input Data"/>
      <sheetName val="Data for the Chart"/>
    </sheetNames>
    <sheetDataSet>
      <sheetData sheetId="0"/>
      <sheetData sheetId="1" refreshError="1"/>
      <sheetData sheetId="2"/>
      <sheetData sheetId="3"/>
      <sheetData sheetId="4"/>
      <sheetData sheetId="5"/>
      <sheetData sheetId="6"/>
      <sheetData sheetId="7">
        <row r="1">
          <cell r="B1">
            <v>0.4</v>
          </cell>
        </row>
        <row r="2">
          <cell r="B2">
            <v>0.12</v>
          </cell>
        </row>
        <row r="5">
          <cell r="B5">
            <v>0.08</v>
          </cell>
        </row>
        <row r="6">
          <cell r="B6">
            <v>0.6</v>
          </cell>
        </row>
        <row r="7">
          <cell r="B7">
            <v>0.4</v>
          </cell>
        </row>
      </sheetData>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Value-Driver-Tree"/>
      <sheetName val="EVA-Chart"/>
      <sheetName val="Cost of Capital"/>
      <sheetName val="Income Statement"/>
      <sheetName val="Assets"/>
      <sheetName val="Sales &amp; var. cost of goods sold"/>
      <sheetName val="Overhead"/>
      <sheetName val="Other Input Data"/>
      <sheetName val="Data for the Chart"/>
    </sheetNames>
    <sheetDataSet>
      <sheetData sheetId="0"/>
      <sheetData sheetId="1" refreshError="1"/>
      <sheetData sheetId="2"/>
      <sheetData sheetId="3"/>
      <sheetData sheetId="4"/>
      <sheetData sheetId="5"/>
      <sheetData sheetId="6"/>
      <sheetData sheetId="7">
        <row r="1">
          <cell r="B1">
            <v>0.4</v>
          </cell>
        </row>
        <row r="2">
          <cell r="B2">
            <v>0.12</v>
          </cell>
        </row>
        <row r="5">
          <cell r="B5">
            <v>0.08</v>
          </cell>
        </row>
        <row r="6">
          <cell r="B6">
            <v>0.6</v>
          </cell>
        </row>
        <row r="7">
          <cell r="B7">
            <v>0.4</v>
          </cell>
        </row>
      </sheetData>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8:E46" totalsRowShown="0" headerRowDxfId="28" dataDxfId="27" tableBorderDxfId="26">
  <autoFilter ref="A8:E46" xr:uid="{00000000-0009-0000-0100-000001000000}"/>
  <tableColumns count="5">
    <tableColumn id="1" xr3:uid="{00000000-0010-0000-0000-000001000000}" name="inflation figure" dataDxfId="25" dataCellStyle="Collegamento ipertestuale"/>
    <tableColumn id="2" xr3:uid="{00000000-0010-0000-0000-000002000000}" name="Country/  region" dataDxfId="24"/>
    <tableColumn id="4" xr3:uid="{00000000-0010-0000-0000-000004000000}" name="Period" dataDxfId="23"/>
    <tableColumn id="5" xr3:uid="{00000000-0010-0000-0000-000005000000}" name="Inflatin monthly basis" dataDxfId="22"/>
    <tableColumn id="6" xr3:uid="{00000000-0010-0000-0000-000006000000}" name="Inflation yearly basis" dataDxfId="21"/>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hyperlink" Target="http://en.wikipedia.org/wiki/added_value" TargetMode="Externa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dx.doi.org/10.1787/eco_outlook-v2012-1-en"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www.global-rates.com/economic-indicators/inflation/consumer-prices/cpi/germany.aspx" TargetMode="External"/><Relationship Id="rId13" Type="http://schemas.openxmlformats.org/officeDocument/2006/relationships/hyperlink" Target="http://www.global-rates.com/economic-indicators/inflation/consumer-prices/cpi/india.aspx" TargetMode="External"/><Relationship Id="rId18" Type="http://schemas.openxmlformats.org/officeDocument/2006/relationships/hyperlink" Target="http://www.global-rates.com/economic-indicators/inflation/consumer-prices/cpi/japan.aspx" TargetMode="External"/><Relationship Id="rId26" Type="http://schemas.openxmlformats.org/officeDocument/2006/relationships/hyperlink" Target="http://www.global-rates.com/economic-indicators/inflation/consumer-prices/cpi/slovenia.aspx" TargetMode="External"/><Relationship Id="rId39" Type="http://schemas.openxmlformats.org/officeDocument/2006/relationships/table" Target="../tables/table1.xml"/><Relationship Id="rId3" Type="http://schemas.openxmlformats.org/officeDocument/2006/relationships/hyperlink" Target="http://www.global-rates.com/economic-indicators/inflation/consumer-prices/cpi/czech-republic.aspx" TargetMode="External"/><Relationship Id="rId21" Type="http://schemas.openxmlformats.org/officeDocument/2006/relationships/hyperlink" Target="http://www.global-rates.com/economic-indicators/inflation/consumer-prices/cpi/norway.aspx" TargetMode="External"/><Relationship Id="rId34" Type="http://schemas.openxmlformats.org/officeDocument/2006/relationships/hyperlink" Target="http://www.global-rates.com/economic-indicators/inflation/consumer-prices/cpi/united-states.aspx" TargetMode="External"/><Relationship Id="rId7" Type="http://schemas.openxmlformats.org/officeDocument/2006/relationships/hyperlink" Target="http://www.global-rates.com/economic-indicators/inflation/consumer-prices/cpi/france.aspx" TargetMode="External"/><Relationship Id="rId12" Type="http://schemas.openxmlformats.org/officeDocument/2006/relationships/hyperlink" Target="http://www.global-rates.com/economic-indicators/inflation/consumer-prices/cpi/iceland.aspx" TargetMode="External"/><Relationship Id="rId17" Type="http://schemas.openxmlformats.org/officeDocument/2006/relationships/hyperlink" Target="http://www.global-rates.com/economic-indicators/inflation/consumer-prices/cpi/italy.aspx" TargetMode="External"/><Relationship Id="rId25" Type="http://schemas.openxmlformats.org/officeDocument/2006/relationships/hyperlink" Target="http://www.global-rates.com/economic-indicators/inflation/consumer-prices/cpi/slovakia.aspx" TargetMode="External"/><Relationship Id="rId33" Type="http://schemas.openxmlformats.org/officeDocument/2006/relationships/hyperlink" Target="http://www.global-rates.com/economic-indicators/inflation/consumer-prices/cpi/turkey.aspx" TargetMode="External"/><Relationship Id="rId38" Type="http://schemas.openxmlformats.org/officeDocument/2006/relationships/hyperlink" Target="http://www.global-rates.com/economic-indicators/inflation/consumer-prices/cpi/austria.aspx" TargetMode="External"/><Relationship Id="rId2" Type="http://schemas.openxmlformats.org/officeDocument/2006/relationships/hyperlink" Target="http://www.global-rates.com/economic-indicators/inflation/consumer-prices/cpi/chile.aspx" TargetMode="External"/><Relationship Id="rId16" Type="http://schemas.openxmlformats.org/officeDocument/2006/relationships/hyperlink" Target="http://www.global-rates.com/economic-indicators/inflation/consumer-prices/cpi/israel.aspx" TargetMode="External"/><Relationship Id="rId20" Type="http://schemas.openxmlformats.org/officeDocument/2006/relationships/hyperlink" Target="http://www.global-rates.com/economic-indicators/inflation/consumer-prices/cpi/mexico.aspx" TargetMode="External"/><Relationship Id="rId29" Type="http://schemas.openxmlformats.org/officeDocument/2006/relationships/hyperlink" Target="http://www.global-rates.com/economic-indicators/inflation/consumer-prices/cpi/spain.aspx" TargetMode="External"/><Relationship Id="rId1" Type="http://schemas.openxmlformats.org/officeDocument/2006/relationships/hyperlink" Target="http://www.global-rates.com/economic-indicators/inflation/consumer-prices/cpi/cpi.aspx" TargetMode="External"/><Relationship Id="rId6" Type="http://schemas.openxmlformats.org/officeDocument/2006/relationships/hyperlink" Target="http://www.global-rates.com/economic-indicators/inflation/consumer-prices/cpi/finland.aspx" TargetMode="External"/><Relationship Id="rId11" Type="http://schemas.openxmlformats.org/officeDocument/2006/relationships/hyperlink" Target="http://www.global-rates.com/economic-indicators/inflation/consumer-prices/cpi/hungary.aspx" TargetMode="External"/><Relationship Id="rId24" Type="http://schemas.openxmlformats.org/officeDocument/2006/relationships/hyperlink" Target="http://www.global-rates.com/economic-indicators/inflation/consumer-prices/cpi/russia.aspx" TargetMode="External"/><Relationship Id="rId32" Type="http://schemas.openxmlformats.org/officeDocument/2006/relationships/hyperlink" Target="http://www.global-rates.com/economic-indicators/inflation/consumer-prices/cpi/the-netherlands.aspx" TargetMode="External"/><Relationship Id="rId37" Type="http://schemas.openxmlformats.org/officeDocument/2006/relationships/hyperlink" Target="http://www.global-rates.com/economic-indicators/inflation/consumer-prices/cpi/belgium.aspx" TargetMode="External"/><Relationship Id="rId5" Type="http://schemas.openxmlformats.org/officeDocument/2006/relationships/hyperlink" Target="http://www.global-rates.com/economic-indicators/inflation/consumer-prices/cpi/estonia.aspx" TargetMode="External"/><Relationship Id="rId15" Type="http://schemas.openxmlformats.org/officeDocument/2006/relationships/hyperlink" Target="http://www.global-rates.com/economic-indicators/inflation/consumer-prices/cpi/ireland.aspx" TargetMode="External"/><Relationship Id="rId23" Type="http://schemas.openxmlformats.org/officeDocument/2006/relationships/hyperlink" Target="http://www.global-rates.com/economic-indicators/inflation/consumer-prices/cpi/portugal.aspx" TargetMode="External"/><Relationship Id="rId28" Type="http://schemas.openxmlformats.org/officeDocument/2006/relationships/hyperlink" Target="http://www.global-rates.com/economic-indicators/inflation/consumer-prices/cpi/south-korea.aspx" TargetMode="External"/><Relationship Id="rId36" Type="http://schemas.openxmlformats.org/officeDocument/2006/relationships/hyperlink" Target="http://www.global-rates.com/economic-indicators/inflation/consumer-prices/cpi/brazil.aspx" TargetMode="External"/><Relationship Id="rId10" Type="http://schemas.openxmlformats.org/officeDocument/2006/relationships/hyperlink" Target="http://www.global-rates.com/economic-indicators/inflation/consumer-prices/cpi/greece.aspx" TargetMode="External"/><Relationship Id="rId19" Type="http://schemas.openxmlformats.org/officeDocument/2006/relationships/hyperlink" Target="http://www.global-rates.com/economic-indicators/inflation/consumer-prices/cpi/luxembourg.aspx" TargetMode="External"/><Relationship Id="rId31" Type="http://schemas.openxmlformats.org/officeDocument/2006/relationships/hyperlink" Target="http://www.global-rates.com/economic-indicators/inflation/consumer-prices/cpi/switzerland.aspx" TargetMode="External"/><Relationship Id="rId4" Type="http://schemas.openxmlformats.org/officeDocument/2006/relationships/hyperlink" Target="http://www.global-rates.com/economic-indicators/inflation/consumer-prices/cpi/denmark.aspx" TargetMode="External"/><Relationship Id="rId9" Type="http://schemas.openxmlformats.org/officeDocument/2006/relationships/hyperlink" Target="http://www.global-rates.com/economic-indicators/inflation/consumer-prices/cpi/great-britain.aspx" TargetMode="External"/><Relationship Id="rId14" Type="http://schemas.openxmlformats.org/officeDocument/2006/relationships/hyperlink" Target="http://www.global-rates.com/economic-indicators/inflation/consumer-prices/cpi/indonesia.aspx" TargetMode="External"/><Relationship Id="rId22" Type="http://schemas.openxmlformats.org/officeDocument/2006/relationships/hyperlink" Target="http://www.global-rates.com/economic-indicators/inflation/consumer-prices/cpi/poland.aspx" TargetMode="External"/><Relationship Id="rId27" Type="http://schemas.openxmlformats.org/officeDocument/2006/relationships/hyperlink" Target="http://www.global-rates.com/economic-indicators/inflation/consumer-prices/cpi/south-africa.aspx" TargetMode="External"/><Relationship Id="rId30" Type="http://schemas.openxmlformats.org/officeDocument/2006/relationships/hyperlink" Target="http://www.global-rates.com/economic-indicators/inflation/consumer-prices/cpi/sweden.aspx" TargetMode="External"/><Relationship Id="rId35" Type="http://schemas.openxmlformats.org/officeDocument/2006/relationships/hyperlink" Target="http://www.global-rates.com/economic-indicators/inflation/consumer-prices/cpi/canada.aspx" TargetMode="External"/></Relationships>
</file>

<file path=xl/worksheets/_rels/sheet23.xml.rels><?xml version="1.0" encoding="UTF-8" standalone="yes"?>
<Relationships xmlns="http://schemas.openxmlformats.org/package/2006/relationships"><Relationship Id="rId13" Type="http://schemas.openxmlformats.org/officeDocument/2006/relationships/hyperlink" Target="http://www.global-rates.com/interest-rates/central-banks/central-bank-india/rbi-interest-rate.aspx" TargetMode="External"/><Relationship Id="rId18" Type="http://schemas.openxmlformats.org/officeDocument/2006/relationships/hyperlink" Target="http://www.global-rates.com/interest-rates/central-banks/central-bank-new-zealand/rbnz-interest-rate.aspx" TargetMode="External"/><Relationship Id="rId26" Type="http://schemas.openxmlformats.org/officeDocument/2006/relationships/hyperlink" Target="http://www.global-rates.com/interest-rates/central-banks/central-bank-turkey/cbrt-interest-rate.aspx" TargetMode="External"/><Relationship Id="rId39" Type="http://schemas.openxmlformats.org/officeDocument/2006/relationships/hyperlink" Target="http://www.global-rates.com/interest-rates/libor/american-dollar/usd-libor-interest-rate-10-months.aspx" TargetMode="External"/><Relationship Id="rId21" Type="http://schemas.openxmlformats.org/officeDocument/2006/relationships/hyperlink" Target="http://www.global-rates.com/interest-rates/central-banks/central-bank-russia/cbr-interest-rate.aspx" TargetMode="External"/><Relationship Id="rId34" Type="http://schemas.openxmlformats.org/officeDocument/2006/relationships/hyperlink" Target="http://www.global-rates.com/interest-rates/libor/american-dollar/usd-libor-interest-rate-5-months.aspx" TargetMode="External"/><Relationship Id="rId42" Type="http://schemas.openxmlformats.org/officeDocument/2006/relationships/hyperlink" Target="http://www.global-rates.com/interest-rates/euribor/euribor-interest-1-week.aspx" TargetMode="External"/><Relationship Id="rId47" Type="http://schemas.openxmlformats.org/officeDocument/2006/relationships/hyperlink" Target="http://www.global-rates.com/interest-rates/euribor/euribor-interest-3-months.aspx" TargetMode="External"/><Relationship Id="rId50" Type="http://schemas.openxmlformats.org/officeDocument/2006/relationships/hyperlink" Target="http://www.global-rates.com/interest-rates/euribor/euribor-interest-6-months.aspx" TargetMode="External"/><Relationship Id="rId55" Type="http://schemas.openxmlformats.org/officeDocument/2006/relationships/hyperlink" Target="http://www.global-rates.com/interest-rates/euribor/euribor-interest-11-months.aspx" TargetMode="External"/><Relationship Id="rId7" Type="http://schemas.openxmlformats.org/officeDocument/2006/relationships/hyperlink" Target="http://www.global-rates.com/interest-rates/central-banks/central-bank-canada/boc-interest-rate.aspx" TargetMode="External"/><Relationship Id="rId12" Type="http://schemas.openxmlformats.org/officeDocument/2006/relationships/hyperlink" Target="http://www.global-rates.com/interest-rates/central-banks/central-bank-hungary/mnb-interest-rate.aspx" TargetMode="External"/><Relationship Id="rId17" Type="http://schemas.openxmlformats.org/officeDocument/2006/relationships/hyperlink" Target="http://www.global-rates.com/interest-rates/central-banks/central-bank-mexico/banxico-interest-rate.aspx" TargetMode="External"/><Relationship Id="rId25" Type="http://schemas.openxmlformats.org/officeDocument/2006/relationships/hyperlink" Target="http://www.global-rates.com/interest-rates/central-banks/central-bank-switzerland/snb-interest-rate.aspx" TargetMode="External"/><Relationship Id="rId33" Type="http://schemas.openxmlformats.org/officeDocument/2006/relationships/hyperlink" Target="http://www.global-rates.com/interest-rates/libor/american-dollar/usd-libor-interest-rate-4-months.aspx" TargetMode="External"/><Relationship Id="rId38" Type="http://schemas.openxmlformats.org/officeDocument/2006/relationships/hyperlink" Target="http://www.global-rates.com/interest-rates/libor/american-dollar/usd-libor-interest-rate-9-months.aspx" TargetMode="External"/><Relationship Id="rId46" Type="http://schemas.openxmlformats.org/officeDocument/2006/relationships/hyperlink" Target="http://www.global-rates.com/interest-rates/euribor/euribor-interest-2-months.aspx" TargetMode="External"/><Relationship Id="rId59" Type="http://schemas.openxmlformats.org/officeDocument/2006/relationships/hyperlink" Target="http://www.global-rates.com/interest-rates/central-banks/central-banks.aspx" TargetMode="External"/><Relationship Id="rId2" Type="http://schemas.openxmlformats.org/officeDocument/2006/relationships/hyperlink" Target="http://www.global-rates.com/interest-rates/central-banks/central-bank-australia/rba-interest-rate.aspx" TargetMode="External"/><Relationship Id="rId16" Type="http://schemas.openxmlformats.org/officeDocument/2006/relationships/hyperlink" Target="http://www.global-rates.com/interest-rates/central-banks/central-bank-japan/boj-interest-rate.aspx" TargetMode="External"/><Relationship Id="rId20" Type="http://schemas.openxmlformats.org/officeDocument/2006/relationships/hyperlink" Target="http://www.global-rates.com/interest-rates/central-banks/central-bank-poland/nbp-interest-rate.aspx" TargetMode="External"/><Relationship Id="rId29" Type="http://schemas.openxmlformats.org/officeDocument/2006/relationships/hyperlink" Target="http://www.global-rates.com/interest-rates/libor/american-dollar/usd-libor-interest-rate-2-weeks.aspx" TargetMode="External"/><Relationship Id="rId41" Type="http://schemas.openxmlformats.org/officeDocument/2006/relationships/hyperlink" Target="http://www.global-rates.com/interest-rates/libor/american-dollar/usd-libor-interest-rate-12-months.aspx" TargetMode="External"/><Relationship Id="rId54" Type="http://schemas.openxmlformats.org/officeDocument/2006/relationships/hyperlink" Target="http://www.global-rates.com/interest-rates/euribor/euribor-interest-10-months.aspx" TargetMode="External"/><Relationship Id="rId1" Type="http://schemas.openxmlformats.org/officeDocument/2006/relationships/hyperlink" Target="http://www.global-rates.com/interest-rates/central-banks/central-bank-america/fed-interest-rate.aspx" TargetMode="External"/><Relationship Id="rId6" Type="http://schemas.openxmlformats.org/officeDocument/2006/relationships/hyperlink" Target="http://www.global-rates.com/interest-rates/central-banks/central-bank-england/boe-interest-rate.aspx" TargetMode="External"/><Relationship Id="rId11" Type="http://schemas.openxmlformats.org/officeDocument/2006/relationships/hyperlink" Target="http://www.global-rates.com/interest-rates/central-banks/european-central-bank/ecb-interest-rate.aspx" TargetMode="External"/><Relationship Id="rId24" Type="http://schemas.openxmlformats.org/officeDocument/2006/relationships/hyperlink" Target="http://www.global-rates.com/interest-rates/central-banks/central-bank-sweden/riksbank-interest-rate.aspx" TargetMode="External"/><Relationship Id="rId32" Type="http://schemas.openxmlformats.org/officeDocument/2006/relationships/hyperlink" Target="http://www.global-rates.com/interest-rates/libor/american-dollar/usd-libor-interest-rate-3-months.aspx" TargetMode="External"/><Relationship Id="rId37" Type="http://schemas.openxmlformats.org/officeDocument/2006/relationships/hyperlink" Target="http://www.global-rates.com/interest-rates/libor/american-dollar/usd-libor-interest-rate-8-months.aspx" TargetMode="External"/><Relationship Id="rId40" Type="http://schemas.openxmlformats.org/officeDocument/2006/relationships/hyperlink" Target="http://www.global-rates.com/interest-rates/libor/american-dollar/usd-libor-interest-rate-11-months.aspx" TargetMode="External"/><Relationship Id="rId45" Type="http://schemas.openxmlformats.org/officeDocument/2006/relationships/hyperlink" Target="http://www.global-rates.com/interest-rates/euribor/euribor-interest-1-month.aspx" TargetMode="External"/><Relationship Id="rId53" Type="http://schemas.openxmlformats.org/officeDocument/2006/relationships/hyperlink" Target="http://www.global-rates.com/interest-rates/euribor/euribor-interest-9-months.aspx" TargetMode="External"/><Relationship Id="rId58" Type="http://schemas.openxmlformats.org/officeDocument/2006/relationships/hyperlink" Target="http://www.global-rates.com/interest-rates/libor/american-dollar/2015.aspx" TargetMode="External"/><Relationship Id="rId5" Type="http://schemas.openxmlformats.org/officeDocument/2006/relationships/hyperlink" Target="http://www.global-rates.com/interest-rates/central-banks/central-bank-brazil/bacen-interest-rate.aspx" TargetMode="External"/><Relationship Id="rId15" Type="http://schemas.openxmlformats.org/officeDocument/2006/relationships/hyperlink" Target="http://www.global-rates.com/interest-rates/central-banks/central-bank-israel/boi-interest-rate.aspx" TargetMode="External"/><Relationship Id="rId23" Type="http://schemas.openxmlformats.org/officeDocument/2006/relationships/hyperlink" Target="http://www.global-rates.com/interest-rates/central-banks/central-bank-south-africa/sarb-interest-rate.aspx" TargetMode="External"/><Relationship Id="rId28" Type="http://schemas.openxmlformats.org/officeDocument/2006/relationships/hyperlink" Target="http://www.global-rates.com/interest-rates/libor/american-dollar/usd-libor-interest-rate-1-week.aspx" TargetMode="External"/><Relationship Id="rId36" Type="http://schemas.openxmlformats.org/officeDocument/2006/relationships/hyperlink" Target="http://www.global-rates.com/interest-rates/libor/american-dollar/usd-libor-interest-rate-7-months.aspx" TargetMode="External"/><Relationship Id="rId49" Type="http://schemas.openxmlformats.org/officeDocument/2006/relationships/hyperlink" Target="http://www.global-rates.com/interest-rates/euribor/euribor-interest-5-months.aspx" TargetMode="External"/><Relationship Id="rId57" Type="http://schemas.openxmlformats.org/officeDocument/2006/relationships/hyperlink" Target="http://www.global-rates.com/interest-rates/euribor/2015.aspx" TargetMode="External"/><Relationship Id="rId10" Type="http://schemas.openxmlformats.org/officeDocument/2006/relationships/hyperlink" Target="http://www.global-rates.com/interest-rates/central-banks/central-bank-danmark/nationalbanken-interest-rate.aspx" TargetMode="External"/><Relationship Id="rId19" Type="http://schemas.openxmlformats.org/officeDocument/2006/relationships/hyperlink" Target="http://www.global-rates.com/interest-rates/central-banks/central-bank-norway/kpr-interest-rate.aspx" TargetMode="External"/><Relationship Id="rId31" Type="http://schemas.openxmlformats.org/officeDocument/2006/relationships/hyperlink" Target="http://www.global-rates.com/interest-rates/libor/american-dollar/usd-libor-interest-rate-2-months.aspx" TargetMode="External"/><Relationship Id="rId44" Type="http://schemas.openxmlformats.org/officeDocument/2006/relationships/hyperlink" Target="http://www.global-rates.com/interest-rates/euribor/euribor-interest-3-weeks.aspx" TargetMode="External"/><Relationship Id="rId52" Type="http://schemas.openxmlformats.org/officeDocument/2006/relationships/hyperlink" Target="http://www.global-rates.com/interest-rates/euribor/euribor-interest-8-months.aspx" TargetMode="External"/><Relationship Id="rId60" Type="http://schemas.openxmlformats.org/officeDocument/2006/relationships/drawing" Target="../drawings/drawing13.xml"/><Relationship Id="rId4" Type="http://schemas.openxmlformats.org/officeDocument/2006/relationships/hyperlink" Target="http://www.global-rates.com/interest-rates/central-banks/central-bank-south-korea/bank-of-korea-interest-rate.aspx" TargetMode="External"/><Relationship Id="rId9" Type="http://schemas.openxmlformats.org/officeDocument/2006/relationships/hyperlink" Target="http://www.global-rates.com/interest-rates/central-banks/central-bank-czech-republic/cnb-interest-rate.aspx" TargetMode="External"/><Relationship Id="rId14" Type="http://schemas.openxmlformats.org/officeDocument/2006/relationships/hyperlink" Target="http://www.global-rates.com/interest-rates/central-banks/central-bank-indonesia/bi-interest-rate.aspx" TargetMode="External"/><Relationship Id="rId22" Type="http://schemas.openxmlformats.org/officeDocument/2006/relationships/hyperlink" Target="http://www.global-rates.com/interest-rates/central-banks/central-bank-saudi-arabia/sama-interest-rate.aspx" TargetMode="External"/><Relationship Id="rId27" Type="http://schemas.openxmlformats.org/officeDocument/2006/relationships/hyperlink" Target="http://www.global-rates.com/interest-rates/libor/american-dollar/usd-libor-interest-rate-overnight.aspx" TargetMode="External"/><Relationship Id="rId30" Type="http://schemas.openxmlformats.org/officeDocument/2006/relationships/hyperlink" Target="http://www.global-rates.com/interest-rates/libor/american-dollar/usd-libor-interest-rate-1-month.aspx" TargetMode="External"/><Relationship Id="rId35" Type="http://schemas.openxmlformats.org/officeDocument/2006/relationships/hyperlink" Target="http://www.global-rates.com/interest-rates/libor/american-dollar/usd-libor-interest-rate-6-months.aspx" TargetMode="External"/><Relationship Id="rId43" Type="http://schemas.openxmlformats.org/officeDocument/2006/relationships/hyperlink" Target="http://www.global-rates.com/interest-rates/euribor/euribor-interest-2-weeks.aspx" TargetMode="External"/><Relationship Id="rId48" Type="http://schemas.openxmlformats.org/officeDocument/2006/relationships/hyperlink" Target="http://www.global-rates.com/interest-rates/euribor/euribor-interest-4-months.aspx" TargetMode="External"/><Relationship Id="rId56" Type="http://schemas.openxmlformats.org/officeDocument/2006/relationships/hyperlink" Target="http://www.global-rates.com/interest-rates/euribor/euribor-interest-12-months.aspx" TargetMode="External"/><Relationship Id="rId8" Type="http://schemas.openxmlformats.org/officeDocument/2006/relationships/hyperlink" Target="http://www.global-rates.com/interest-rates/central-banks/central-bank-china/pbc-interest-rate.aspx" TargetMode="External"/><Relationship Id="rId51" Type="http://schemas.openxmlformats.org/officeDocument/2006/relationships/hyperlink" Target="http://www.global-rates.com/interest-rates/euribor/euribor-interest-7-months.aspx" TargetMode="External"/><Relationship Id="rId3" Type="http://schemas.openxmlformats.org/officeDocument/2006/relationships/hyperlink" Target="http://www.global-rates.com/interest-rates/central-banks/central-bank-chile/mpr-interest-rate.aspx" TargetMode="Externa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5.xml.rels><?xml version="1.0" encoding="UTF-8" standalone="yes"?>
<Relationships xmlns="http://schemas.openxmlformats.org/package/2006/relationships"><Relationship Id="rId1" Type="http://schemas.openxmlformats.org/officeDocument/2006/relationships/hyperlink" Target="http://www.indexmundi.com/commodities/?commodity=crude-oil" TargetMode="External"/></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3" Type="http://schemas.openxmlformats.org/officeDocument/2006/relationships/hyperlink" Target="http://en.wikipedia.org/wiki/Earnings_before_interest_and_taxes" TargetMode="External"/><Relationship Id="rId2" Type="http://schemas.openxmlformats.org/officeDocument/2006/relationships/hyperlink" Target="http://en.wikipedia.org/wiki/EBITDA" TargetMode="External"/><Relationship Id="rId1" Type="http://schemas.openxmlformats.org/officeDocument/2006/relationships/hyperlink" Target="http://en.wikipedia.org/wiki/Contribution_margi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4.xml.rels><?xml version="1.0" encoding="UTF-8" standalone="yes"?>
<Relationships xmlns="http://schemas.openxmlformats.org/package/2006/relationships"><Relationship Id="rId3" Type="http://schemas.openxmlformats.org/officeDocument/2006/relationships/hyperlink" Target="http://en.wikipedia.org/wiki/Intangible_asset" TargetMode="External"/><Relationship Id="rId7" Type="http://schemas.openxmlformats.org/officeDocument/2006/relationships/comments" Target="../comments2.xml"/><Relationship Id="rId2" Type="http://schemas.openxmlformats.org/officeDocument/2006/relationships/hyperlink" Target="http://en.wikipedia.org/wiki/Tangible_asset" TargetMode="External"/><Relationship Id="rId1" Type="http://schemas.openxmlformats.org/officeDocument/2006/relationships/hyperlink" Target="http://en.wikipedia.org/wiki/Fixed_asset"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hyperlink" Target="http://en.wikipedia.org/wiki/Current_assets" TargetMode="Externa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en.wikipedia.org/wiki/EBIT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J73"/>
  <sheetViews>
    <sheetView showGridLines="0" topLeftCell="A22" zoomScale="90" zoomScaleNormal="90" zoomScalePageLayoutView="90" workbookViewId="0">
      <selection activeCell="B35" sqref="B35"/>
    </sheetView>
  </sheetViews>
  <sheetFormatPr defaultColWidth="8.85546875" defaultRowHeight="12.75"/>
  <cols>
    <col min="1" max="1" width="5.140625" style="13" customWidth="1"/>
    <col min="2" max="2" width="35.7109375" style="23" customWidth="1"/>
    <col min="3" max="4" width="20" style="23" customWidth="1"/>
    <col min="5" max="5" width="45.140625" style="23" customWidth="1"/>
    <col min="6" max="16384" width="8.85546875" style="13"/>
  </cols>
  <sheetData>
    <row r="1" spans="1:10" ht="13.5" thickBot="1"/>
    <row r="2" spans="1:10" ht="15.75" thickBot="1">
      <c r="B2" s="25"/>
      <c r="E2" s="26"/>
    </row>
    <row r="3" spans="1:10" ht="28.5" thickBot="1">
      <c r="A3" s="586" t="s">
        <v>155</v>
      </c>
      <c r="B3" s="586"/>
      <c r="E3" s="213" t="s">
        <v>152</v>
      </c>
    </row>
    <row r="4" spans="1:10" ht="13.5" thickBot="1">
      <c r="B4" s="24"/>
      <c r="E4" s="988"/>
    </row>
    <row r="5" spans="1:10">
      <c r="B5" s="24"/>
      <c r="C5" s="13"/>
      <c r="D5" s="183"/>
      <c r="F5" s="23"/>
      <c r="G5" s="23"/>
      <c r="H5" s="23"/>
      <c r="I5" s="23"/>
      <c r="J5" s="23"/>
    </row>
    <row r="6" spans="1:10">
      <c r="B6"/>
      <c r="C6" s="183"/>
      <c r="F6" s="23"/>
      <c r="G6" s="23"/>
      <c r="H6" s="23"/>
      <c r="I6" s="23"/>
    </row>
    <row r="7" spans="1:10">
      <c r="B7" s="24"/>
      <c r="C7" s="13"/>
      <c r="D7" s="13"/>
      <c r="E7" s="13"/>
    </row>
    <row r="8" spans="1:10">
      <c r="C8" s="13"/>
      <c r="D8" s="13"/>
      <c r="E8" s="13"/>
    </row>
    <row r="11" spans="1:10">
      <c r="F11" s="23"/>
      <c r="G11" s="23"/>
      <c r="H11" s="23"/>
      <c r="I11" s="23"/>
    </row>
    <row r="12" spans="1:10">
      <c r="B12" s="52"/>
      <c r="F12" s="23"/>
      <c r="G12" s="23"/>
      <c r="H12" s="23"/>
      <c r="I12" s="23"/>
    </row>
    <row r="13" spans="1:10">
      <c r="F13" s="23"/>
      <c r="G13" s="23"/>
      <c r="H13" s="23"/>
      <c r="I13" s="23"/>
    </row>
    <row r="14" spans="1:10" ht="23.25" thickBot="1">
      <c r="A14" s="1036" t="s">
        <v>867</v>
      </c>
      <c r="B14" s="1035"/>
      <c r="C14" s="13"/>
      <c r="F14" s="23"/>
      <c r="G14" s="23"/>
      <c r="H14" s="23"/>
      <c r="I14" s="23"/>
    </row>
    <row r="15" spans="1:10">
      <c r="A15" s="566"/>
      <c r="B15" s="288"/>
      <c r="C15" s="13"/>
      <c r="F15" s="23"/>
      <c r="G15" s="23"/>
      <c r="H15" s="23"/>
      <c r="I15" s="23"/>
    </row>
    <row r="16" spans="1:10">
      <c r="A16" s="1086" t="s">
        <v>1389</v>
      </c>
      <c r="B16" s="1087"/>
      <c r="F16" s="23"/>
      <c r="G16" s="23"/>
      <c r="H16" s="23"/>
      <c r="I16" s="23"/>
    </row>
    <row r="17" spans="1:9" ht="12.75" customHeight="1">
      <c r="A17" s="1130">
        <v>1</v>
      </c>
      <c r="B17" s="1131" t="s">
        <v>396</v>
      </c>
      <c r="F17" s="23"/>
      <c r="G17" s="23"/>
      <c r="H17" s="23"/>
      <c r="I17" s="23"/>
    </row>
    <row r="18" spans="1:9" ht="12.75" customHeight="1">
      <c r="A18" s="1086" t="s">
        <v>1388</v>
      </c>
      <c r="B18" s="1132"/>
      <c r="F18" s="23"/>
      <c r="G18" s="23"/>
      <c r="H18" s="23"/>
      <c r="I18" s="23"/>
    </row>
    <row r="19" spans="1:9">
      <c r="A19" s="1130">
        <v>2</v>
      </c>
      <c r="B19" s="1131" t="s">
        <v>397</v>
      </c>
      <c r="F19" s="23"/>
      <c r="G19" s="23"/>
      <c r="H19" s="23"/>
      <c r="I19" s="23"/>
    </row>
    <row r="20" spans="1:9">
      <c r="A20" s="1130">
        <v>3</v>
      </c>
      <c r="B20" s="1131" t="s">
        <v>736</v>
      </c>
      <c r="F20" s="23"/>
      <c r="G20" s="23"/>
      <c r="H20" s="23"/>
      <c r="I20" s="23"/>
    </row>
    <row r="21" spans="1:9">
      <c r="A21" s="1086" t="s">
        <v>1387</v>
      </c>
      <c r="B21" s="1132"/>
      <c r="F21" s="23"/>
      <c r="G21" s="23"/>
      <c r="H21" s="23"/>
      <c r="I21" s="23"/>
    </row>
    <row r="22" spans="1:9" ht="12.75" customHeight="1">
      <c r="A22" s="1130">
        <v>4</v>
      </c>
      <c r="B22" s="1131" t="s">
        <v>1378</v>
      </c>
      <c r="F22" s="23"/>
      <c r="G22" s="23"/>
      <c r="H22" s="23"/>
      <c r="I22" s="23"/>
    </row>
    <row r="23" spans="1:9">
      <c r="A23" s="1130">
        <v>5</v>
      </c>
      <c r="B23" s="1131" t="s">
        <v>825</v>
      </c>
      <c r="F23" s="23"/>
      <c r="G23" s="23"/>
      <c r="H23" s="23"/>
      <c r="I23" s="23"/>
    </row>
    <row r="24" spans="1:9">
      <c r="A24" s="1130">
        <v>6</v>
      </c>
      <c r="B24" s="1131" t="s">
        <v>398</v>
      </c>
      <c r="F24" s="23"/>
      <c r="G24" s="23"/>
      <c r="H24" s="23"/>
      <c r="I24" s="23"/>
    </row>
    <row r="25" spans="1:9">
      <c r="A25" s="1086" t="s">
        <v>1386</v>
      </c>
      <c r="B25" s="1132"/>
      <c r="F25" s="23"/>
      <c r="G25" s="23"/>
      <c r="H25" s="23"/>
      <c r="I25" s="23"/>
    </row>
    <row r="26" spans="1:9">
      <c r="A26" s="1130">
        <v>7</v>
      </c>
      <c r="B26" s="1131" t="s">
        <v>868</v>
      </c>
    </row>
    <row r="27" spans="1:9">
      <c r="A27" s="1130">
        <v>8</v>
      </c>
      <c r="B27" s="1133" t="s">
        <v>1485</v>
      </c>
    </row>
    <row r="28" spans="1:9">
      <c r="A28" s="1130">
        <v>9</v>
      </c>
      <c r="B28" s="1133" t="s">
        <v>1376</v>
      </c>
    </row>
    <row r="29" spans="1:9">
      <c r="A29" s="1086" t="s">
        <v>1385</v>
      </c>
      <c r="B29" s="1132"/>
    </row>
    <row r="30" spans="1:9">
      <c r="A30" s="1130">
        <v>10</v>
      </c>
      <c r="B30" s="1133" t="s">
        <v>1377</v>
      </c>
    </row>
    <row r="31" spans="1:9">
      <c r="A31" s="1130">
        <v>11</v>
      </c>
      <c r="B31" s="1133" t="s">
        <v>1381</v>
      </c>
    </row>
    <row r="32" spans="1:9">
      <c r="A32" s="1130">
        <v>12</v>
      </c>
      <c r="B32" s="1133" t="s">
        <v>1379</v>
      </c>
    </row>
    <row r="33" spans="1:2">
      <c r="A33" s="1130">
        <v>13</v>
      </c>
      <c r="B33" s="1133" t="s">
        <v>1380</v>
      </c>
    </row>
    <row r="34" spans="1:2">
      <c r="A34" s="1086" t="s">
        <v>1384</v>
      </c>
      <c r="B34" s="1132"/>
    </row>
    <row r="35" spans="1:2">
      <c r="A35" s="1130">
        <v>14</v>
      </c>
      <c r="B35" s="1133" t="s">
        <v>1360</v>
      </c>
    </row>
    <row r="36" spans="1:2">
      <c r="A36" s="1130">
        <v>15</v>
      </c>
      <c r="B36" s="1133" t="s">
        <v>1382</v>
      </c>
    </row>
    <row r="37" spans="1:2">
      <c r="A37" s="1130">
        <v>16</v>
      </c>
      <c r="B37" s="1133" t="s">
        <v>1383</v>
      </c>
    </row>
    <row r="38" spans="1:2">
      <c r="A38" s="1130">
        <v>17</v>
      </c>
      <c r="B38" s="1133" t="s">
        <v>1496</v>
      </c>
    </row>
    <row r="39" spans="1:2">
      <c r="A39" s="1130">
        <v>18</v>
      </c>
      <c r="B39" s="1133" t="s">
        <v>1390</v>
      </c>
    </row>
    <row r="40" spans="1:2">
      <c r="A40" s="1130">
        <v>19</v>
      </c>
      <c r="B40" s="1133" t="s">
        <v>1391</v>
      </c>
    </row>
    <row r="41" spans="1:2">
      <c r="A41" s="1130">
        <v>20</v>
      </c>
      <c r="B41" s="1133" t="s">
        <v>1495</v>
      </c>
    </row>
    <row r="42" spans="1:2">
      <c r="A42" s="1130">
        <v>21</v>
      </c>
      <c r="B42" s="1133" t="s">
        <v>1505</v>
      </c>
    </row>
    <row r="43" spans="1:2">
      <c r="A43" s="1086" t="s">
        <v>1392</v>
      </c>
      <c r="B43" s="1087"/>
    </row>
    <row r="44" spans="1:2">
      <c r="A44" s="1086">
        <v>22</v>
      </c>
      <c r="B44" s="1133" t="s">
        <v>1393</v>
      </c>
    </row>
    <row r="45" spans="1:2">
      <c r="A45" s="1086">
        <v>23</v>
      </c>
      <c r="B45" s="1133" t="s">
        <v>1394</v>
      </c>
    </row>
    <row r="46" spans="1:2">
      <c r="A46" s="1130">
        <v>24</v>
      </c>
      <c r="B46" s="1133" t="s">
        <v>1395</v>
      </c>
    </row>
    <row r="47" spans="1:2">
      <c r="A47" s="1130">
        <v>25</v>
      </c>
      <c r="B47" s="1133" t="s">
        <v>1373</v>
      </c>
    </row>
    <row r="48" spans="1:2">
      <c r="A48" s="1130">
        <v>26</v>
      </c>
      <c r="B48" s="1133" t="s">
        <v>1396</v>
      </c>
    </row>
    <row r="49" spans="1:2">
      <c r="A49" s="1130">
        <v>27</v>
      </c>
      <c r="B49" s="1138" t="s">
        <v>1027</v>
      </c>
    </row>
    <row r="50" spans="1:2">
      <c r="A50" s="1130">
        <v>28</v>
      </c>
      <c r="B50" s="1133" t="s">
        <v>1397</v>
      </c>
    </row>
    <row r="51" spans="1:2">
      <c r="A51" s="1130">
        <v>29</v>
      </c>
      <c r="B51" s="1133" t="s">
        <v>1398</v>
      </c>
    </row>
    <row r="52" spans="1:2">
      <c r="A52" s="1130">
        <v>30</v>
      </c>
      <c r="B52" s="1131" t="s">
        <v>1399</v>
      </c>
    </row>
    <row r="53" spans="1:2">
      <c r="A53" s="1130">
        <v>31</v>
      </c>
      <c r="B53" s="1133" t="s">
        <v>1400</v>
      </c>
    </row>
    <row r="54" spans="1:2" ht="13.5" thickBot="1">
      <c r="A54" s="1134">
        <v>31</v>
      </c>
      <c r="B54" s="1135" t="s">
        <v>997</v>
      </c>
    </row>
    <row r="55" spans="1:2">
      <c r="A55" s="17"/>
    </row>
    <row r="66" spans="1:7" ht="13.5" thickBot="1"/>
    <row r="67" spans="1:7" ht="14.25">
      <c r="A67" s="291" t="s">
        <v>307</v>
      </c>
      <c r="B67" s="292"/>
      <c r="C67" s="292"/>
      <c r="D67" s="292"/>
      <c r="E67" s="293"/>
      <c r="F67" s="293"/>
      <c r="G67" s="288"/>
    </row>
    <row r="68" spans="1:7" ht="14.25">
      <c r="A68" s="294" t="s">
        <v>308</v>
      </c>
      <c r="B68" s="295"/>
      <c r="C68" s="295"/>
      <c r="D68" s="295"/>
      <c r="E68" s="13"/>
      <c r="G68" s="289"/>
    </row>
    <row r="69" spans="1:7" ht="14.25">
      <c r="A69" s="299" t="s">
        <v>309</v>
      </c>
      <c r="B69" s="300"/>
      <c r="C69" s="300"/>
      <c r="D69" s="300"/>
      <c r="E69" s="301"/>
      <c r="F69" s="301"/>
      <c r="G69" s="302"/>
    </row>
    <row r="70" spans="1:7" ht="14.25">
      <c r="A70" s="299" t="s">
        <v>310</v>
      </c>
      <c r="B70" s="300"/>
      <c r="C70" s="300"/>
      <c r="D70" s="300"/>
      <c r="E70" s="301"/>
      <c r="F70" s="301"/>
      <c r="G70" s="302"/>
    </row>
    <row r="71" spans="1:7" ht="14.25">
      <c r="A71" s="299" t="s">
        <v>311</v>
      </c>
      <c r="B71" s="300"/>
      <c r="C71" s="300"/>
      <c r="D71" s="300"/>
      <c r="E71" s="301"/>
      <c r="F71" s="301"/>
      <c r="G71" s="302"/>
    </row>
    <row r="72" spans="1:7" ht="14.25">
      <c r="A72" s="294" t="s">
        <v>313</v>
      </c>
      <c r="B72" s="295"/>
      <c r="C72" s="295"/>
      <c r="D72" s="295"/>
      <c r="E72" s="13"/>
      <c r="G72" s="289"/>
    </row>
    <row r="73" spans="1:7" ht="15" thickBot="1">
      <c r="A73" s="296" t="s">
        <v>312</v>
      </c>
      <c r="B73" s="297"/>
      <c r="C73" s="297"/>
      <c r="D73" s="297"/>
      <c r="E73" s="298"/>
      <c r="F73" s="298"/>
      <c r="G73" s="290"/>
    </row>
  </sheetData>
  <phoneticPr fontId="68" type="noConversion"/>
  <hyperlinks>
    <hyperlink ref="B17" location="'Business Plan checklist'!A1" display="Business Plan checklist" xr:uid="{00000000-0004-0000-0000-000000000000}"/>
    <hyperlink ref="B19" location="'Income Statement'!A1" display="Income statement" xr:uid="{00000000-0004-0000-0000-000001000000}"/>
    <hyperlink ref="B20" location="'Balance Sheet'!A1" display="Balance Sheet" xr:uid="{00000000-0004-0000-0000-000002000000}"/>
    <hyperlink ref="B22" location="'Loan repayment schedule'!A1" display="Loan repayment schedule" xr:uid="{00000000-0004-0000-0000-000003000000}"/>
    <hyperlink ref="B24" location="'Cash Flow Statement'!A1" display="Cash Flow Statement" xr:uid="{00000000-0004-0000-0000-000004000000}"/>
    <hyperlink ref="B26" location="'Ratios '!A1" display="Ratios" xr:uid="{00000000-0004-0000-0000-000005000000}"/>
    <hyperlink ref="B28" location="'Debt Covenants '!A1" display="Debt Covenants " xr:uid="{00000000-0004-0000-0000-000006000000}"/>
    <hyperlink ref="B30" location="'Value Added Analysis'!A1" display="Value Added Analysis" xr:uid="{00000000-0004-0000-0000-000007000000}"/>
    <hyperlink ref="B31" location="'Breakeven point'!A1" display="Breakeven point" xr:uid="{00000000-0004-0000-0000-000008000000}"/>
    <hyperlink ref="B32" location="'Operating leverage'!A1" display="'Operating leverage" xr:uid="{00000000-0004-0000-0000-000009000000}"/>
    <hyperlink ref="B33" location="'Cash Flows &amp; Operating Leverage'!A1" display="'Cash Flows &amp; Operating Leverage" xr:uid="{00000000-0004-0000-0000-00000A000000}"/>
    <hyperlink ref="B35" location="'Country Risk'!A1" display="Country Risk" xr:uid="{00000000-0004-0000-0000-00000B000000}"/>
    <hyperlink ref="B36" location="'Beta '!A1" display="'Beta " xr:uid="{00000000-0004-0000-0000-00000C000000}"/>
    <hyperlink ref="B37" location="'Inflation OECD Historical trend'!A1" display="'Inflation OECD Historical trend" xr:uid="{00000000-0004-0000-0000-00000D000000}"/>
    <hyperlink ref="B38" location="'Inflation update sep.2012'!A1" display="Inflation datas updated sep.2012" xr:uid="{00000000-0004-0000-0000-00000E000000}"/>
    <hyperlink ref="B39" location="'Equity risk premium'!A1" display="'Equity risk premium" xr:uid="{00000000-0004-0000-0000-00000F000000}"/>
    <hyperlink ref="B40" location="'Interest Rates'!A1" display="Interest Rates" xr:uid="{00000000-0004-0000-0000-000010000000}"/>
    <hyperlink ref="B44" location="'Other input data'!A1" display="'Other input data" xr:uid="{00000000-0004-0000-0000-000011000000}"/>
    <hyperlink ref="B45" location="' Exhibit '!A1" display="' Exhibit " xr:uid="{00000000-0004-0000-0000-000012000000}"/>
    <hyperlink ref="B46" location="'NPV, IRR, payback'!A1" display="'NPV, IRR, payback" xr:uid="{00000000-0004-0000-0000-000013000000}"/>
    <hyperlink ref="B47" location="'Evaluation Model'!A1" display="'Evaluation Model" xr:uid="{00000000-0004-0000-0000-000014000000}"/>
    <hyperlink ref="B48" location="'Rating '!A1" display="'Rating " xr:uid="{00000000-0004-0000-0000-000015000000}"/>
    <hyperlink ref="B50" location="'Cash flow eval methods descript'!A1" display="'Cash flow evaluation methods description" xr:uid="{00000000-0004-0000-0000-000016000000}"/>
    <hyperlink ref="B51" location="' Cash Flow Valuation Model'!A1" display="' Cash Flow Valuation Model" xr:uid="{00000000-0004-0000-0000-000017000000}"/>
    <hyperlink ref="B52" location="NewFCFEStableGrowth!A1" display="NewFCFEStableGrowth" xr:uid="{00000000-0004-0000-0000-000018000000}"/>
    <hyperlink ref="B53" location="' NewFCFFStableGrowth'!A1" display="' NewFCFFStableGrowth" xr:uid="{00000000-0004-0000-0000-000019000000}"/>
    <hyperlink ref="B54" location="WACC!A1" display="WACC" xr:uid="{00000000-0004-0000-0000-00001A000000}"/>
    <hyperlink ref="B27" location="'TREE of RATIOS'!A1" display="RATIO TREE" xr:uid="{00000000-0004-0000-0000-00001B000000}"/>
    <hyperlink ref="B41" location="'Currency rates'!A1" display="Currency rates" xr:uid="{00000000-0004-0000-0000-00001C000000}"/>
    <hyperlink ref="B42" location="Commodities!A1" display="Commodities" xr:uid="{00000000-0004-0000-0000-00001D000000}"/>
    <hyperlink ref="B49" location="'Price-BV'!A1" display="'Price-BV'" xr:uid="{00000000-0004-0000-0000-00001E000000}"/>
  </hyperlinks>
  <pageMargins left="0.70000000000000007" right="0.70000000000000007" top="0.75000000000000011" bottom="0.75000000000000011" header="0.30000000000000004" footer="0.30000000000000004"/>
  <pageSetup paperSize="9" scale="58" orientation="portrait"/>
  <rowBreaks count="1" manualBreakCount="1">
    <brk id="41" max="16383" man="1"/>
  </rowBreaks>
  <colBreaks count="1" manualBreakCount="1">
    <brk id="1" max="1048575" man="1"/>
  </colBreaks>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N182"/>
  <sheetViews>
    <sheetView workbookViewId="0">
      <selection activeCell="E29" sqref="E29"/>
    </sheetView>
  </sheetViews>
  <sheetFormatPr defaultColWidth="8.85546875" defaultRowHeight="12.75"/>
  <cols>
    <col min="1" max="1" width="13.42578125" customWidth="1"/>
    <col min="2" max="2" width="32" customWidth="1"/>
    <col min="3" max="3" width="33.42578125" customWidth="1"/>
    <col min="4" max="4" width="13.42578125" customWidth="1"/>
    <col min="5" max="5" width="29.28515625" customWidth="1"/>
    <col min="6" max="6" width="33" customWidth="1"/>
    <col min="7" max="7" width="9.140625" customWidth="1"/>
    <col min="8" max="8" width="11" customWidth="1"/>
    <col min="9" max="9" width="32.42578125" customWidth="1"/>
    <col min="10" max="10" width="25.140625" customWidth="1"/>
    <col min="11" max="11" width="21.42578125" customWidth="1"/>
    <col min="12" max="12" width="11.85546875" customWidth="1"/>
    <col min="13" max="13" width="34.140625" customWidth="1"/>
  </cols>
  <sheetData>
    <row r="1" spans="4:8" ht="20.25">
      <c r="E1" s="147" t="s">
        <v>1268</v>
      </c>
    </row>
    <row r="2" spans="4:8" ht="20.25">
      <c r="E2" s="147"/>
    </row>
    <row r="3" spans="4:8">
      <c r="D3" s="21" t="s">
        <v>1259</v>
      </c>
    </row>
    <row r="4" spans="4:8">
      <c r="D4" s="21" t="s">
        <v>1260</v>
      </c>
    </row>
    <row r="5" spans="4:8" ht="15">
      <c r="E5" s="21" t="s">
        <v>1269</v>
      </c>
    </row>
    <row r="8" spans="4:8">
      <c r="E8" s="21" t="s">
        <v>1285</v>
      </c>
    </row>
    <row r="9" spans="4:8">
      <c r="E9" s="21"/>
    </row>
    <row r="10" spans="4:8">
      <c r="E10" s="70" t="s">
        <v>1270</v>
      </c>
      <c r="F10" s="146">
        <v>2.27</v>
      </c>
      <c r="G10" s="125"/>
    </row>
    <row r="11" spans="4:8">
      <c r="E11" s="67" t="s">
        <v>361</v>
      </c>
      <c r="F11" s="119">
        <f>F17/F16</f>
        <v>1.8454495891931653</v>
      </c>
      <c r="G11" s="121"/>
      <c r="H11" s="122"/>
    </row>
    <row r="12" spans="4:8" ht="13.5" thickBot="1">
      <c r="E12" s="67" t="s">
        <v>881</v>
      </c>
      <c r="F12" s="65">
        <v>97313.4</v>
      </c>
      <c r="G12" s="125"/>
    </row>
    <row r="13" spans="4:8">
      <c r="E13" s="67" t="s">
        <v>1267</v>
      </c>
      <c r="F13" s="149">
        <f>F10-(F10*F11)</f>
        <v>-1.9191705674684854</v>
      </c>
    </row>
    <row r="15" spans="4:8">
      <c r="F15" s="63" t="s">
        <v>872</v>
      </c>
    </row>
    <row r="16" spans="4:8">
      <c r="E16" s="61" t="s">
        <v>870</v>
      </c>
      <c r="F16" s="64">
        <f>F34</f>
        <v>269163</v>
      </c>
    </row>
    <row r="17" spans="5:7" ht="13.5" thickBot="1">
      <c r="E17" s="62" t="s">
        <v>874</v>
      </c>
      <c r="F17" s="65">
        <v>496726.74777599995</v>
      </c>
    </row>
    <row r="18" spans="5:7" ht="13.5" thickBot="1">
      <c r="E18" s="161" t="s">
        <v>871</v>
      </c>
      <c r="F18" s="162">
        <f>F16-F17</f>
        <v>-227563.74777599995</v>
      </c>
      <c r="G18" s="19"/>
    </row>
    <row r="19" spans="5:7" ht="13.5" thickBot="1">
      <c r="E19" s="163" t="s">
        <v>876</v>
      </c>
      <c r="F19" s="164">
        <f>F39</f>
        <v>0.70046092602642285</v>
      </c>
    </row>
    <row r="20" spans="5:7" ht="13.5" thickBot="1">
      <c r="E20" s="168" t="s">
        <v>1266</v>
      </c>
      <c r="F20" s="169">
        <f>F12/F13</f>
        <v>-50705.967280627323</v>
      </c>
    </row>
    <row r="24" spans="5:7" ht="20.25">
      <c r="E24" s="147" t="s">
        <v>877</v>
      </c>
    </row>
    <row r="25" spans="5:7">
      <c r="E25" s="21"/>
    </row>
    <row r="26" spans="5:7">
      <c r="E26" s="21" t="s">
        <v>1286</v>
      </c>
    </row>
    <row r="27" spans="5:7">
      <c r="E27" s="21"/>
    </row>
    <row r="28" spans="5:7">
      <c r="E28" s="67" t="s">
        <v>879</v>
      </c>
      <c r="F28" s="159">
        <f>F11</f>
        <v>1.8454495891931653</v>
      </c>
      <c r="G28" s="125"/>
    </row>
    <row r="29" spans="5:7" ht="13.5" thickBot="1">
      <c r="E29" s="67" t="s">
        <v>881</v>
      </c>
      <c r="F29" s="65">
        <f>F12</f>
        <v>97313.4</v>
      </c>
      <c r="G29" s="125"/>
    </row>
    <row r="30" spans="5:7">
      <c r="E30" s="70" t="s">
        <v>1270</v>
      </c>
      <c r="F30" s="146">
        <v>2.27</v>
      </c>
      <c r="G30" s="125"/>
    </row>
    <row r="31" spans="5:7">
      <c r="E31" s="67"/>
      <c r="F31" s="118"/>
      <c r="G31" s="125"/>
    </row>
    <row r="33" spans="2:11">
      <c r="F33" s="63" t="s">
        <v>872</v>
      </c>
    </row>
    <row r="34" spans="2:11" ht="15" customHeight="1">
      <c r="E34" s="61" t="s">
        <v>870</v>
      </c>
      <c r="F34" s="64">
        <f>'Income Statement'!D5</f>
        <v>269163</v>
      </c>
      <c r="G34" s="145"/>
    </row>
    <row r="35" spans="2:11" ht="15" customHeight="1" thickBot="1">
      <c r="B35" s="68">
        <f>F35/(F35+F37)</f>
        <v>0.83618379942108756</v>
      </c>
      <c r="C35" s="166" t="s">
        <v>1288</v>
      </c>
      <c r="E35" s="62" t="s">
        <v>874</v>
      </c>
      <c r="F35" s="65">
        <f>F17</f>
        <v>496726.74777599995</v>
      </c>
      <c r="G35" s="125"/>
    </row>
    <row r="36" spans="2:11" ht="15" customHeight="1">
      <c r="E36" s="161" t="s">
        <v>871</v>
      </c>
      <c r="F36" s="162">
        <f>F34-F35</f>
        <v>-227563.74777599995</v>
      </c>
    </row>
    <row r="37" spans="2:11" ht="15" customHeight="1" thickBot="1">
      <c r="E37" s="62" t="s">
        <v>875</v>
      </c>
      <c r="F37" s="65">
        <f>F12</f>
        <v>97313.4</v>
      </c>
      <c r="G37" s="125"/>
    </row>
    <row r="38" spans="2:11" ht="15" customHeight="1" thickBot="1">
      <c r="E38" s="77" t="s">
        <v>734</v>
      </c>
      <c r="F38" s="78">
        <f>F36-F37</f>
        <v>-324877.14777599997</v>
      </c>
    </row>
    <row r="39" spans="2:11" ht="15" customHeight="1" thickBot="1">
      <c r="E39" s="163" t="s">
        <v>876</v>
      </c>
      <c r="F39" s="164">
        <f>F36/F38</f>
        <v>0.70046092602642285</v>
      </c>
    </row>
    <row r="40" spans="2:11" ht="15" customHeight="1"/>
    <row r="41" spans="2:11" ht="15" customHeight="1"/>
    <row r="42" spans="2:11" ht="15" customHeight="1">
      <c r="E42" s="16"/>
      <c r="F42" s="69"/>
    </row>
    <row r="43" spans="2:11">
      <c r="E43" s="15" t="s">
        <v>359</v>
      </c>
    </row>
    <row r="45" spans="2:11">
      <c r="C45" s="22"/>
    </row>
    <row r="46" spans="2:11" ht="15.75">
      <c r="B46" s="137" t="s">
        <v>358</v>
      </c>
      <c r="H46" s="148" t="s">
        <v>360</v>
      </c>
    </row>
    <row r="47" spans="2:11">
      <c r="B47" s="70" t="s">
        <v>1262</v>
      </c>
      <c r="C47" s="107">
        <v>0.4</v>
      </c>
      <c r="D47" s="123" t="s">
        <v>1287</v>
      </c>
      <c r="I47" s="70" t="s">
        <v>1262</v>
      </c>
      <c r="J47" s="107">
        <v>-0.3</v>
      </c>
      <c r="K47" s="123" t="s">
        <v>1287</v>
      </c>
    </row>
    <row r="48" spans="2:11">
      <c r="G48" s="71"/>
      <c r="K48" s="60"/>
    </row>
    <row r="49" spans="1:14">
      <c r="D49" s="63" t="s">
        <v>880</v>
      </c>
      <c r="L49" s="63" t="s">
        <v>880</v>
      </c>
    </row>
    <row r="50" spans="1:14">
      <c r="C50" s="61" t="s">
        <v>870</v>
      </c>
      <c r="D50" s="64">
        <f>F34*(1+C47)</f>
        <v>376828.19999999995</v>
      </c>
      <c r="K50" s="61" t="s">
        <v>870</v>
      </c>
      <c r="L50" s="64">
        <f>F34*(1+J47)</f>
        <v>188414.09999999998</v>
      </c>
    </row>
    <row r="51" spans="1:14" ht="13.5" thickBot="1">
      <c r="A51" s="68">
        <f>D51/(D51+D54)</f>
        <v>0.8772428241158815</v>
      </c>
      <c r="B51" s="21" t="s">
        <v>1288</v>
      </c>
      <c r="C51" s="62" t="s">
        <v>874</v>
      </c>
      <c r="D51" s="65">
        <f>F28*D50</f>
        <v>695417.44688639988</v>
      </c>
      <c r="I51" s="82">
        <f>L51/(L51+L54)</f>
        <v>0.7813290736040891</v>
      </c>
      <c r="J51" s="21" t="s">
        <v>1288</v>
      </c>
      <c r="K51" s="62" t="s">
        <v>874</v>
      </c>
      <c r="L51" s="167">
        <f>F28*L50</f>
        <v>347708.72344319994</v>
      </c>
    </row>
    <row r="52" spans="1:14">
      <c r="C52" s="161" t="s">
        <v>871</v>
      </c>
      <c r="D52" s="162">
        <f>D50-D51</f>
        <v>-318589.24688639992</v>
      </c>
      <c r="K52" s="161" t="s">
        <v>871</v>
      </c>
      <c r="L52" s="162">
        <f>L50-L51</f>
        <v>-159294.62344319996</v>
      </c>
    </row>
    <row r="53" spans="1:14" ht="15.75">
      <c r="C53" s="79" t="s">
        <v>885</v>
      </c>
      <c r="D53" s="106">
        <f>(D52-F36)/F36</f>
        <v>0.4</v>
      </c>
      <c r="K53" s="79" t="s">
        <v>885</v>
      </c>
      <c r="L53" s="106">
        <f>(L52-F36)/F36</f>
        <v>-0.3</v>
      </c>
      <c r="M53" s="56"/>
    </row>
    <row r="54" spans="1:14" ht="13.5" thickBot="1">
      <c r="C54" s="62" t="s">
        <v>875</v>
      </c>
      <c r="D54" s="65">
        <f>F37</f>
        <v>97313.4</v>
      </c>
      <c r="K54" s="62" t="s">
        <v>875</v>
      </c>
      <c r="L54" s="65">
        <f>F37</f>
        <v>97313.4</v>
      </c>
      <c r="M54" s="125"/>
    </row>
    <row r="55" spans="1:14" ht="16.5" thickBot="1">
      <c r="C55" s="77" t="s">
        <v>734</v>
      </c>
      <c r="D55" s="78">
        <f>D52-D54</f>
        <v>-415902.64688639995</v>
      </c>
      <c r="K55" s="77" t="s">
        <v>734</v>
      </c>
      <c r="L55" s="78">
        <f>L52-L54</f>
        <v>-256608.02344319996</v>
      </c>
      <c r="M55" s="58"/>
    </row>
    <row r="56" spans="1:14" ht="16.5" thickBot="1">
      <c r="C56" s="80" t="s">
        <v>882</v>
      </c>
      <c r="D56" s="75">
        <f>(D55-F38)/F38</f>
        <v>0.28018437041056915</v>
      </c>
      <c r="K56" s="80" t="s">
        <v>882</v>
      </c>
      <c r="L56" s="75">
        <f>(L55-F38)/F38</f>
        <v>-0.21013827780792693</v>
      </c>
      <c r="M56" s="58"/>
    </row>
    <row r="57" spans="1:14">
      <c r="G57" s="21"/>
    </row>
    <row r="58" spans="1:14">
      <c r="B58" s="72" t="s">
        <v>1264</v>
      </c>
      <c r="C58" s="111">
        <f>C47</f>
        <v>0.4</v>
      </c>
      <c r="D58" s="109" t="s">
        <v>1311</v>
      </c>
      <c r="E58" s="165">
        <f>F39</f>
        <v>0.70046092602642285</v>
      </c>
      <c r="F58" s="51" t="s">
        <v>1229</v>
      </c>
      <c r="G58" s="112">
        <f>D56</f>
        <v>0.28018437041056915</v>
      </c>
      <c r="I58" s="72" t="s">
        <v>1261</v>
      </c>
      <c r="J58" s="108">
        <f>J47</f>
        <v>-0.3</v>
      </c>
      <c r="K58" s="109" t="s">
        <v>1312</v>
      </c>
      <c r="L58" s="165">
        <f>F39</f>
        <v>0.70046092602642285</v>
      </c>
      <c r="M58" s="51" t="s">
        <v>1228</v>
      </c>
      <c r="N58" s="110">
        <f>L56</f>
        <v>-0.21013827780792693</v>
      </c>
    </row>
    <row r="60" spans="1:14" ht="15">
      <c r="B60" s="170" t="s">
        <v>1263</v>
      </c>
      <c r="D60" s="81" t="s">
        <v>873</v>
      </c>
      <c r="E60" s="76">
        <f>C47*F39</f>
        <v>0.28018437041056915</v>
      </c>
      <c r="I60" s="59" t="s">
        <v>1263</v>
      </c>
      <c r="K60" s="81" t="s">
        <v>873</v>
      </c>
      <c r="L60" s="76">
        <f>J47*F39</f>
        <v>-0.21013827780792685</v>
      </c>
    </row>
    <row r="65" spans="1:12" ht="20.25">
      <c r="C65" s="66"/>
      <c r="E65" s="147" t="s">
        <v>1217</v>
      </c>
    </row>
    <row r="67" spans="1:12">
      <c r="C67" s="21" t="s">
        <v>1289</v>
      </c>
    </row>
    <row r="70" spans="1:12">
      <c r="C70" s="22"/>
      <c r="E70" s="15" t="s">
        <v>359</v>
      </c>
    </row>
    <row r="71" spans="1:12">
      <c r="C71" s="22"/>
    </row>
    <row r="72" spans="1:12" ht="15.75">
      <c r="B72" s="137" t="s">
        <v>358</v>
      </c>
      <c r="H72" s="137" t="s">
        <v>360</v>
      </c>
    </row>
    <row r="73" spans="1:12">
      <c r="B73" s="70" t="s">
        <v>1262</v>
      </c>
      <c r="C73" s="113">
        <f>C47</f>
        <v>0.4</v>
      </c>
      <c r="D73" s="123" t="s">
        <v>1287</v>
      </c>
      <c r="I73" s="70" t="s">
        <v>1262</v>
      </c>
      <c r="J73" s="113">
        <f>J47</f>
        <v>-0.3</v>
      </c>
      <c r="K73" s="123" t="s">
        <v>1287</v>
      </c>
    </row>
    <row r="74" spans="1:12">
      <c r="B74" s="67" t="s">
        <v>1219</v>
      </c>
      <c r="C74" s="101">
        <f>D55</f>
        <v>-415902.64688639995</v>
      </c>
      <c r="F74" s="67"/>
      <c r="G74" s="101"/>
      <c r="I74" s="67" t="s">
        <v>1219</v>
      </c>
      <c r="J74" s="101">
        <f>L55</f>
        <v>-256608.02344319996</v>
      </c>
    </row>
    <row r="75" spans="1:12">
      <c r="B75" s="105" t="s">
        <v>1220</v>
      </c>
      <c r="E75" s="104">
        <f>SUM('Income Statement'!D27:D30)</f>
        <v>-49000</v>
      </c>
      <c r="I75" s="105" t="s">
        <v>1220</v>
      </c>
      <c r="L75" s="101">
        <f>E75</f>
        <v>-49000</v>
      </c>
    </row>
    <row r="76" spans="1:12">
      <c r="C76" s="21"/>
      <c r="E76" s="31"/>
      <c r="G76" s="103"/>
    </row>
    <row r="77" spans="1:12">
      <c r="A77" s="67" t="s">
        <v>1224</v>
      </c>
      <c r="B77" s="21" t="s">
        <v>1225</v>
      </c>
      <c r="E77" s="101">
        <f>C74+(-E75)</f>
        <v>-366902.64688639995</v>
      </c>
      <c r="G77" s="103"/>
      <c r="H77" s="67" t="s">
        <v>1224</v>
      </c>
      <c r="I77" s="21" t="s">
        <v>1225</v>
      </c>
      <c r="K77" s="103"/>
      <c r="L77" s="101">
        <f>J74+(-L75)</f>
        <v>-207608.02344319996</v>
      </c>
    </row>
    <row r="78" spans="1:12">
      <c r="C78" s="21"/>
      <c r="G78" s="103"/>
    </row>
    <row r="79" spans="1:12" ht="13.5" thickBot="1">
      <c r="B79" s="13"/>
    </row>
    <row r="80" spans="1:12" ht="19.5" customHeight="1" thickBot="1">
      <c r="A80" s="13"/>
      <c r="B80" s="158" t="s">
        <v>362</v>
      </c>
      <c r="C80" s="1329" t="s">
        <v>1221</v>
      </c>
      <c r="D80" s="1330"/>
      <c r="E80" s="156" t="s">
        <v>1227</v>
      </c>
      <c r="I80" s="158" t="s">
        <v>362</v>
      </c>
      <c r="J80" s="1329" t="s">
        <v>1221</v>
      </c>
      <c r="K80" s="1330"/>
      <c r="L80" s="156" t="s">
        <v>1227</v>
      </c>
    </row>
    <row r="81" spans="1:14" ht="16.5" thickBot="1">
      <c r="C81" s="22"/>
      <c r="D81" s="20"/>
      <c r="E81" s="58"/>
      <c r="J81" s="22"/>
      <c r="K81" s="20"/>
      <c r="L81" s="58"/>
    </row>
    <row r="82" spans="1:14" ht="13.5" thickBot="1">
      <c r="B82" s="1326" t="s">
        <v>810</v>
      </c>
      <c r="C82" s="1327"/>
      <c r="D82" s="1328"/>
      <c r="E82" s="156" t="s">
        <v>1227</v>
      </c>
      <c r="I82" s="1326" t="s">
        <v>810</v>
      </c>
      <c r="J82" s="1327"/>
      <c r="K82" s="1328"/>
      <c r="L82" s="156" t="s">
        <v>1227</v>
      </c>
    </row>
    <row r="83" spans="1:14" ht="13.5" thickBot="1">
      <c r="B83" s="150">
        <f>F38</f>
        <v>-324877.14777599997</v>
      </c>
      <c r="C83" s="150" t="s">
        <v>734</v>
      </c>
      <c r="D83" s="151">
        <f>C74</f>
        <v>-415902.64688639995</v>
      </c>
      <c r="E83" s="155">
        <f>(D83-B83)/B83</f>
        <v>0.28018437041056915</v>
      </c>
      <c r="I83" s="150">
        <f>F38</f>
        <v>-324877.14777599997</v>
      </c>
      <c r="J83" s="150" t="s">
        <v>734</v>
      </c>
      <c r="K83" s="151">
        <f>L55</f>
        <v>-256608.02344319996</v>
      </c>
      <c r="L83" s="155">
        <f>(K83-I83)/I83</f>
        <v>-0.21013827780792693</v>
      </c>
    </row>
    <row r="84" spans="1:14">
      <c r="B84" s="42">
        <f>-'Income Statement'!D27</f>
        <v>0</v>
      </c>
      <c r="C84" s="41" t="s">
        <v>1222</v>
      </c>
      <c r="D84" s="42">
        <f>-'Income Statement'!E27</f>
        <v>0</v>
      </c>
      <c r="E84" s="42"/>
      <c r="F84" s="51"/>
      <c r="I84" s="42">
        <f>-'Income Statement'!D27</f>
        <v>0</v>
      </c>
      <c r="J84" s="41" t="s">
        <v>1222</v>
      </c>
      <c r="K84" s="42">
        <f>-'Income Statement'!E27</f>
        <v>0</v>
      </c>
      <c r="L84" s="42"/>
    </row>
    <row r="85" spans="1:14">
      <c r="B85" s="42">
        <f>-'Income Statement'!D28</f>
        <v>49000</v>
      </c>
      <c r="C85" s="41" t="s">
        <v>800</v>
      </c>
      <c r="D85" s="42">
        <f>-'Income Statement'!E28</f>
        <v>78000</v>
      </c>
      <c r="E85" s="42"/>
      <c r="I85" s="42">
        <f>-'Income Statement'!D28</f>
        <v>49000</v>
      </c>
      <c r="J85" s="41" t="s">
        <v>800</v>
      </c>
      <c r="K85" s="42">
        <f>-'Income Statement'!E28</f>
        <v>78000</v>
      </c>
      <c r="L85" s="42"/>
    </row>
    <row r="86" spans="1:14" ht="13.5" thickBot="1">
      <c r="B86" s="42">
        <f>-'Income Statement'!D30</f>
        <v>0</v>
      </c>
      <c r="C86" s="17" t="s">
        <v>1223</v>
      </c>
      <c r="D86" s="18">
        <f>-'Income Statement'!E30</f>
        <v>0</v>
      </c>
      <c r="E86" s="18"/>
      <c r="I86" s="42">
        <f>-'Income Statement'!D30</f>
        <v>0</v>
      </c>
      <c r="J86" s="17" t="s">
        <v>1223</v>
      </c>
      <c r="K86" s="42">
        <f>-'Income Statement'!E30</f>
        <v>0</v>
      </c>
      <c r="L86" s="18"/>
    </row>
    <row r="87" spans="1:14" ht="13.5" thickBot="1">
      <c r="B87" s="150">
        <f>SUM(B83:B86)</f>
        <v>-275877.14777599997</v>
      </c>
      <c r="C87" s="150" t="s">
        <v>725</v>
      </c>
      <c r="D87" s="151">
        <f>SUM(D83:D86)</f>
        <v>-337902.64688639995</v>
      </c>
      <c r="E87" s="157">
        <f>(D87-B87)/B87</f>
        <v>0.2248301449047963</v>
      </c>
      <c r="I87" s="150">
        <f>SUM(I83:I86)</f>
        <v>-275877.14777599997</v>
      </c>
      <c r="J87" s="150" t="s">
        <v>725</v>
      </c>
      <c r="K87" s="151">
        <f>SUM(K83:K86)</f>
        <v>-178608.02344319996</v>
      </c>
      <c r="L87" s="157">
        <f>(K87-I87)/I87</f>
        <v>-0.35258130336978194</v>
      </c>
    </row>
    <row r="88" spans="1:14">
      <c r="B88" s="42">
        <f>'Cash Flow Statement'!C12</f>
        <v>34540</v>
      </c>
      <c r="C88" s="41" t="s">
        <v>820</v>
      </c>
      <c r="D88" s="42">
        <f>'Cash Flow Statement'!D12</f>
        <v>69347</v>
      </c>
      <c r="E88" s="42"/>
      <c r="I88" s="42">
        <f>'Cash Flow Statement'!C12</f>
        <v>34540</v>
      </c>
      <c r="J88" s="41" t="s">
        <v>820</v>
      </c>
      <c r="K88" s="42">
        <f>'Cash Flow Statement'!D12</f>
        <v>69347</v>
      </c>
      <c r="L88" s="42"/>
    </row>
    <row r="89" spans="1:14">
      <c r="B89" s="42">
        <f>'Cash Flow Statement'!C13</f>
        <v>0</v>
      </c>
      <c r="C89" s="41" t="s">
        <v>821</v>
      </c>
      <c r="D89" s="42">
        <f>'Cash Flow Statement'!D13</f>
        <v>0</v>
      </c>
      <c r="E89" s="42"/>
      <c r="I89" s="42">
        <f>'Cash Flow Statement'!C13</f>
        <v>0</v>
      </c>
      <c r="J89" s="41" t="s">
        <v>821</v>
      </c>
      <c r="K89" s="42">
        <f>'Cash Flow Statement'!D13</f>
        <v>0</v>
      </c>
      <c r="L89" s="42"/>
    </row>
    <row r="90" spans="1:14" ht="13.5" thickBot="1">
      <c r="B90" s="42">
        <f>'Cash Flow Statement'!C15</f>
        <v>-352</v>
      </c>
      <c r="C90" s="17" t="s">
        <v>822</v>
      </c>
      <c r="D90" s="42">
        <f>'Cash Flow Statement'!D15</f>
        <v>-147248</v>
      </c>
      <c r="E90" s="18"/>
      <c r="I90" s="42">
        <f>'Cash Flow Statement'!C15</f>
        <v>-352</v>
      </c>
      <c r="J90" s="17" t="s">
        <v>822</v>
      </c>
      <c r="K90" s="42">
        <f>'Cash Flow Statement'!D15</f>
        <v>-147248</v>
      </c>
      <c r="L90" s="18"/>
    </row>
    <row r="91" spans="1:14" ht="13.5" thickBot="1">
      <c r="B91" s="153">
        <f>SUM(B87:B90)</f>
        <v>-241689.14777599997</v>
      </c>
      <c r="C91" s="154" t="s">
        <v>788</v>
      </c>
      <c r="D91" s="153">
        <f>SUM(D87:D90)</f>
        <v>-415803.64688639995</v>
      </c>
      <c r="E91" s="157">
        <f>(D91-B91)/B91</f>
        <v>0.72040677338053716</v>
      </c>
      <c r="I91" s="153">
        <f>SUM(I87:I90)</f>
        <v>-241689.14777599997</v>
      </c>
      <c r="J91" s="154" t="s">
        <v>788</v>
      </c>
      <c r="K91" s="153">
        <f>SUM(K87:K90)</f>
        <v>-256509.02344319996</v>
      </c>
      <c r="L91" s="157">
        <f>(K91-I91)/I91</f>
        <v>6.1317919333867661E-2</v>
      </c>
    </row>
    <row r="92" spans="1:14" ht="15.75">
      <c r="E92" s="57"/>
    </row>
    <row r="93" spans="1:14">
      <c r="B93" s="72" t="s">
        <v>1261</v>
      </c>
      <c r="C93" s="108">
        <f>C73</f>
        <v>0.4</v>
      </c>
      <c r="D93" s="109" t="s">
        <v>1312</v>
      </c>
      <c r="E93" s="165">
        <f>F39</f>
        <v>0.70046092602642285</v>
      </c>
      <c r="F93" s="114" t="s">
        <v>369</v>
      </c>
      <c r="G93" s="115">
        <f>E91</f>
        <v>0.72040677338053716</v>
      </c>
      <c r="I93" s="72" t="s">
        <v>1261</v>
      </c>
      <c r="J93" s="108">
        <f>J73</f>
        <v>-0.3</v>
      </c>
      <c r="K93" s="109" t="s">
        <v>1312</v>
      </c>
      <c r="L93" s="165">
        <f>F39</f>
        <v>0.70046092602642285</v>
      </c>
      <c r="M93" s="114" t="s">
        <v>369</v>
      </c>
      <c r="N93" s="115">
        <f>L91</f>
        <v>6.1317919333867661E-2</v>
      </c>
    </row>
    <row r="95" spans="1:14">
      <c r="A95" s="160" t="s">
        <v>1226</v>
      </c>
      <c r="B95" s="21" t="s">
        <v>370</v>
      </c>
      <c r="H95" s="160" t="s">
        <v>1226</v>
      </c>
      <c r="I95" s="21" t="s">
        <v>370</v>
      </c>
    </row>
    <row r="96" spans="1:14">
      <c r="B96" s="21" t="s">
        <v>371</v>
      </c>
      <c r="I96" s="21" t="s">
        <v>371</v>
      </c>
    </row>
    <row r="143" spans="7:7">
      <c r="G143" s="120"/>
    </row>
    <row r="149" spans="1:7">
      <c r="B149" s="21"/>
    </row>
    <row r="150" spans="1:7">
      <c r="G150" s="19"/>
    </row>
    <row r="155" spans="1:7">
      <c r="A155" s="21"/>
    </row>
    <row r="157" spans="1:7">
      <c r="A157" s="21"/>
    </row>
    <row r="168" spans="4:5">
      <c r="D168" s="118"/>
    </row>
    <row r="173" spans="4:5">
      <c r="E173" s="35"/>
    </row>
    <row r="182" spans="4:4">
      <c r="D182" s="118"/>
    </row>
  </sheetData>
  <mergeCells count="4">
    <mergeCell ref="B82:D82"/>
    <mergeCell ref="C80:D80"/>
    <mergeCell ref="J80:K80"/>
    <mergeCell ref="I82:K82"/>
  </mergeCells>
  <phoneticPr fontId="114" type="noConversion"/>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249977111117893"/>
    <pageSetUpPr fitToPage="1"/>
  </sheetPr>
  <dimension ref="A1:R59"/>
  <sheetViews>
    <sheetView showGridLines="0" topLeftCell="A19" zoomScale="75" zoomScaleNormal="75" zoomScalePageLayoutView="75" workbookViewId="0">
      <selection activeCell="D15" sqref="D15"/>
    </sheetView>
  </sheetViews>
  <sheetFormatPr defaultColWidth="8.85546875" defaultRowHeight="12.75"/>
  <cols>
    <col min="1" max="1" width="35.85546875" bestFit="1" customWidth="1"/>
    <col min="2" max="2" width="65.85546875" customWidth="1"/>
    <col min="3" max="3" width="12.28515625" style="60" bestFit="1" customWidth="1"/>
    <col min="4" max="4" width="14.42578125" style="60" bestFit="1" customWidth="1"/>
    <col min="5" max="7" width="14.85546875" style="60" bestFit="1" customWidth="1"/>
    <col min="8" max="8" width="57.28515625" style="53" customWidth="1"/>
    <col min="9" max="9" width="123.140625" style="55" customWidth="1"/>
    <col min="10" max="10" width="13.42578125" style="14" customWidth="1"/>
    <col min="11" max="18" width="8.85546875" style="14"/>
    <col min="19" max="16384" width="8.85546875" style="989"/>
  </cols>
  <sheetData>
    <row r="1" spans="1:18" ht="18.75">
      <c r="A1" s="945" t="s">
        <v>868</v>
      </c>
      <c r="B1" s="8"/>
      <c r="C1" s="138"/>
      <c r="D1" s="138"/>
      <c r="F1" s="138"/>
      <c r="G1" s="138"/>
      <c r="H1" s="12"/>
      <c r="I1" s="54"/>
      <c r="J1" s="1139"/>
      <c r="K1" s="1140"/>
      <c r="L1" s="1140"/>
      <c r="M1" s="1140"/>
      <c r="N1" s="1140"/>
      <c r="O1" s="1140"/>
      <c r="P1" s="1140"/>
      <c r="Q1" s="1140"/>
      <c r="R1" s="1140"/>
    </row>
    <row r="2" spans="1:18" ht="13.5" thickBot="1">
      <c r="A2" s="12"/>
      <c r="B2" s="12"/>
      <c r="C2" s="138"/>
      <c r="D2" s="138"/>
      <c r="E2" s="138"/>
      <c r="F2" s="138"/>
      <c r="G2" s="138"/>
      <c r="H2" s="12"/>
      <c r="I2" s="54"/>
      <c r="J2" s="1139"/>
      <c r="K2" s="1140"/>
      <c r="L2" s="1140"/>
      <c r="M2" s="1140"/>
      <c r="N2" s="1140"/>
      <c r="O2" s="1140"/>
      <c r="P2" s="1140"/>
      <c r="Q2" s="1140"/>
      <c r="R2" s="1140"/>
    </row>
    <row r="3" spans="1:18" ht="15.75">
      <c r="A3" s="754"/>
      <c r="B3" s="754"/>
      <c r="C3" s="593" t="s">
        <v>728</v>
      </c>
      <c r="D3" s="593" t="s">
        <v>727</v>
      </c>
      <c r="E3" s="593" t="s">
        <v>1317</v>
      </c>
      <c r="F3" s="593" t="s">
        <v>1318</v>
      </c>
      <c r="G3" s="593" t="s">
        <v>372</v>
      </c>
      <c r="H3" s="754"/>
      <c r="I3" s="1121"/>
      <c r="J3" s="1141"/>
      <c r="K3" s="1140"/>
      <c r="L3" s="1140"/>
      <c r="M3" s="1140"/>
      <c r="N3" s="1140"/>
      <c r="O3" s="1140"/>
      <c r="P3" s="1140"/>
      <c r="Q3" s="1140"/>
      <c r="R3" s="1140"/>
    </row>
    <row r="4" spans="1:18">
      <c r="A4" s="736"/>
      <c r="B4" s="736"/>
      <c r="C4" s="739"/>
      <c r="D4" s="739"/>
      <c r="E4" s="739"/>
      <c r="F4" s="739"/>
      <c r="G4" s="739"/>
      <c r="H4" s="736"/>
      <c r="I4" s="1122"/>
      <c r="J4" s="1142"/>
      <c r="K4" s="1140"/>
      <c r="L4" s="1140"/>
      <c r="M4" s="1140"/>
      <c r="N4" s="1140"/>
      <c r="O4" s="1140"/>
      <c r="P4" s="1140"/>
      <c r="Q4" s="1140"/>
      <c r="R4" s="1140"/>
    </row>
    <row r="5" spans="1:18" s="1148" customFormat="1" ht="15.75">
      <c r="A5" s="737" t="s">
        <v>829</v>
      </c>
      <c r="B5" s="755"/>
      <c r="C5" s="740"/>
      <c r="D5" s="740"/>
      <c r="E5" s="740"/>
      <c r="F5" s="740"/>
      <c r="G5" s="740"/>
      <c r="H5" s="1112"/>
      <c r="I5" s="1112"/>
      <c r="J5" s="1143"/>
      <c r="K5" s="1143"/>
      <c r="L5" s="1143"/>
      <c r="M5" s="1143"/>
      <c r="N5" s="1143"/>
      <c r="O5" s="1143"/>
      <c r="P5" s="1143"/>
      <c r="Q5" s="1143"/>
      <c r="R5" s="1143"/>
    </row>
    <row r="6" spans="1:18" ht="12.75" customHeight="1">
      <c r="A6" s="757" t="s">
        <v>828</v>
      </c>
      <c r="B6" s="756" t="s">
        <v>830</v>
      </c>
      <c r="C6" s="741">
        <f>'Balance Sheet'!C39/('Balance Sheet'!C66+'Balance Sheet'!C69)</f>
        <v>0.28484116090787931</v>
      </c>
      <c r="D6" s="741">
        <f>'Balance Sheet'!D39/('Balance Sheet'!D66+'Balance Sheet'!D69)</f>
        <v>0.45156595509059877</v>
      </c>
      <c r="E6" s="741">
        <f>'Balance Sheet'!E39/('Balance Sheet'!E66+'Balance Sheet'!E69)</f>
        <v>2.486470847331812</v>
      </c>
      <c r="F6" s="741">
        <f>'Balance Sheet'!F39/('Balance Sheet'!F66+'Balance Sheet'!F69)</f>
        <v>7.014671648883823</v>
      </c>
      <c r="G6" s="741">
        <f>'Balance Sheet'!G39/('Balance Sheet'!G66+'Balance Sheet'!G69)</f>
        <v>13.221374218276239</v>
      </c>
      <c r="H6" s="1113" t="s">
        <v>898</v>
      </c>
      <c r="I6" s="1123" t="s">
        <v>901</v>
      </c>
      <c r="J6" s="1144" t="s">
        <v>1556</v>
      </c>
      <c r="K6" s="1145"/>
      <c r="L6" s="1145"/>
      <c r="M6" s="1145"/>
      <c r="N6" s="1145"/>
      <c r="O6" s="1145"/>
      <c r="P6" s="1145"/>
      <c r="Q6" s="1145"/>
      <c r="R6" s="1145"/>
    </row>
    <row r="7" spans="1:18">
      <c r="A7" s="757" t="s">
        <v>827</v>
      </c>
      <c r="B7" s="756" t="s">
        <v>831</v>
      </c>
      <c r="C7" s="741">
        <f>('Balance Sheet'!C39-'Balance Sheet'!C20)/('Balance Sheet'!C66+'Balance Sheet'!C69)</f>
        <v>0.28484116090787931</v>
      </c>
      <c r="D7" s="741">
        <f>('Balance Sheet'!D39-'Balance Sheet'!D20)/('Balance Sheet'!D66+'Balance Sheet'!D69)</f>
        <v>0.45156595509059877</v>
      </c>
      <c r="E7" s="741">
        <f>('Balance Sheet'!E39-'Balance Sheet'!E20)/('Balance Sheet'!E66+'Balance Sheet'!E69)</f>
        <v>2.486470847331812</v>
      </c>
      <c r="F7" s="741">
        <f>('Balance Sheet'!F39-'Balance Sheet'!F20)/('Balance Sheet'!F66+'Balance Sheet'!F69)</f>
        <v>7.014671648883823</v>
      </c>
      <c r="G7" s="741">
        <f>('Balance Sheet'!G39-'Balance Sheet'!G20)/('Balance Sheet'!G66+'Balance Sheet'!G69)</f>
        <v>13.221374218276239</v>
      </c>
      <c r="H7" s="1113" t="s">
        <v>829</v>
      </c>
      <c r="I7" s="1123" t="s">
        <v>900</v>
      </c>
      <c r="J7" s="1144" t="s">
        <v>1556</v>
      </c>
      <c r="K7" s="1145"/>
      <c r="L7" s="1145"/>
      <c r="M7" s="1145"/>
      <c r="N7" s="1145"/>
      <c r="O7" s="1145"/>
      <c r="P7" s="1145"/>
      <c r="Q7" s="1145"/>
      <c r="R7" s="1145"/>
    </row>
    <row r="8" spans="1:18">
      <c r="A8" s="27"/>
      <c r="B8" s="27"/>
      <c r="C8" s="742"/>
      <c r="D8" s="742"/>
      <c r="E8" s="742"/>
      <c r="F8" s="742"/>
      <c r="G8" s="742"/>
      <c r="H8" s="1114"/>
      <c r="I8" s="1124"/>
      <c r="J8" s="22" t="s">
        <v>1556</v>
      </c>
    </row>
    <row r="9" spans="1:18">
      <c r="A9" s="27"/>
      <c r="B9" s="27"/>
      <c r="C9" s="742"/>
      <c r="D9" s="742"/>
      <c r="E9" s="742"/>
      <c r="F9" s="742"/>
      <c r="G9" s="742"/>
      <c r="H9" s="1114"/>
      <c r="I9" s="1124"/>
    </row>
    <row r="10" spans="1:18" s="1148" customFormat="1" ht="15.75">
      <c r="A10" s="737" t="s">
        <v>832</v>
      </c>
      <c r="B10" s="755"/>
      <c r="C10" s="740"/>
      <c r="D10" s="740"/>
      <c r="E10" s="740"/>
      <c r="F10" s="740"/>
      <c r="G10" s="740"/>
      <c r="H10" s="1115"/>
      <c r="I10" s="1112"/>
      <c r="J10" s="1143"/>
      <c r="K10" s="1143"/>
      <c r="L10" s="1143"/>
      <c r="M10" s="1143"/>
      <c r="N10" s="1143"/>
      <c r="O10" s="1143"/>
      <c r="P10" s="1143"/>
      <c r="Q10" s="1143"/>
      <c r="R10" s="1143"/>
    </row>
    <row r="11" spans="1:18">
      <c r="A11" s="757" t="s">
        <v>833</v>
      </c>
      <c r="B11" s="756" t="s">
        <v>834</v>
      </c>
      <c r="C11" s="741">
        <f>('Balance Sheet'!C41-('Balance Sheet'!C56+'Balance Sheet'!C59+'Balance Sheet'!C66+'Balance Sheet'!C69))/'Balance Sheet'!C41</f>
        <v>0.27294256530596084</v>
      </c>
      <c r="D11" s="741">
        <f>('Balance Sheet'!D41-('Balance Sheet'!D56+'Balance Sheet'!D59+'Balance Sheet'!D66+'Balance Sheet'!D69))/'Balance Sheet'!D41</f>
        <v>0.3032591882580547</v>
      </c>
      <c r="E11" s="741">
        <f>('Balance Sheet'!E41-('Balance Sheet'!E56+'Balance Sheet'!E59+'Balance Sheet'!E66+'Balance Sheet'!E69))/'Balance Sheet'!E41</f>
        <v>0.702437000874363</v>
      </c>
      <c r="F11" s="741">
        <f>('Balance Sheet'!F41-('Balance Sheet'!F56+'Balance Sheet'!F59+'Balance Sheet'!F66+'Balance Sheet'!F69))/'Balance Sheet'!F41</f>
        <v>0.84935807377918537</v>
      </c>
      <c r="G11" s="741">
        <f>('Balance Sheet'!G41-('Balance Sheet'!G56+'Balance Sheet'!G59+'Balance Sheet'!G66+'Balance Sheet'!G69))/'Balance Sheet'!G41</f>
        <v>0.89992397722394513</v>
      </c>
      <c r="H11" s="1116" t="s">
        <v>899</v>
      </c>
      <c r="I11" s="756" t="s">
        <v>905</v>
      </c>
      <c r="J11" s="1144" t="s">
        <v>1556</v>
      </c>
      <c r="K11" s="1145"/>
      <c r="L11" s="1145"/>
      <c r="M11" s="1145"/>
      <c r="N11" s="1145"/>
      <c r="O11" s="1145"/>
      <c r="P11" s="1145"/>
      <c r="Q11" s="1145"/>
      <c r="R11" s="1145"/>
    </row>
    <row r="12" spans="1:18">
      <c r="A12" s="757" t="s">
        <v>835</v>
      </c>
      <c r="B12" s="756" t="s">
        <v>836</v>
      </c>
      <c r="C12" s="741">
        <f>('Balance Sheet'!C66+'Balance Sheet'!C69+'Balance Sheet'!C59+'Balance Sheet'!C56)/'Balance Sheet'!C41</f>
        <v>0.72705743469403916</v>
      </c>
      <c r="D12" s="741">
        <f>('Balance Sheet'!D66+'Balance Sheet'!D69+'Balance Sheet'!D59+'Balance Sheet'!D56)/'Balance Sheet'!D41</f>
        <v>0.69674081174194524</v>
      </c>
      <c r="E12" s="741">
        <f>('Balance Sheet'!E66+'Balance Sheet'!E69+'Balance Sheet'!E59+'Balance Sheet'!E56)/'Balance Sheet'!E41</f>
        <v>0.297562999125637</v>
      </c>
      <c r="F12" s="741">
        <f>('Balance Sheet'!F66+'Balance Sheet'!F69+'Balance Sheet'!F59+'Balance Sheet'!F56)/'Balance Sheet'!F41</f>
        <v>0.15064192622081463</v>
      </c>
      <c r="G12" s="741">
        <f>('Balance Sheet'!G66+'Balance Sheet'!G69+'Balance Sheet'!G59+'Balance Sheet'!G56)/'Balance Sheet'!G41</f>
        <v>0.10007602277605486</v>
      </c>
      <c r="H12" s="1116" t="s">
        <v>899</v>
      </c>
      <c r="I12" s="756" t="s">
        <v>904</v>
      </c>
      <c r="J12" s="1144" t="s">
        <v>1556</v>
      </c>
      <c r="K12" s="1145"/>
      <c r="L12" s="1145"/>
      <c r="M12" s="1145"/>
      <c r="N12" s="1145"/>
      <c r="O12" s="1145"/>
      <c r="P12" s="1145"/>
      <c r="Q12" s="1145"/>
      <c r="R12" s="1145"/>
    </row>
    <row r="13" spans="1:18" ht="12.75" customHeight="1">
      <c r="A13" s="757" t="s">
        <v>861</v>
      </c>
      <c r="B13" s="756" t="s">
        <v>861</v>
      </c>
      <c r="C13" s="743">
        <f>'Income Statement'!C48/'Balance Sheet'!C62</f>
        <v>-5.53978546030418E-2</v>
      </c>
      <c r="D13" s="743">
        <f>'Income Statement'!D48/'Balance Sheet'!D62</f>
        <v>-6.6254073435223632E-2</v>
      </c>
      <c r="E13" s="743">
        <f>'Income Statement'!E48/'Balance Sheet'!E62</f>
        <v>-6.4090036262817007E-2</v>
      </c>
      <c r="F13" s="743">
        <f>'Income Statement'!F48/'Balance Sheet'!F62</f>
        <v>-5.8914264115613423E-2</v>
      </c>
      <c r="G13" s="743">
        <f>'Income Statement'!G48/'Balance Sheet'!G62</f>
        <v>-4.1508707583152712E-2</v>
      </c>
      <c r="H13" s="1113" t="s">
        <v>685</v>
      </c>
      <c r="I13" s="756" t="s">
        <v>906</v>
      </c>
      <c r="J13" s="1144" t="s">
        <v>1556</v>
      </c>
      <c r="K13" s="1145"/>
      <c r="L13" s="1145"/>
      <c r="M13" s="1145"/>
      <c r="N13" s="1145"/>
      <c r="O13" s="1145"/>
      <c r="P13" s="1145"/>
      <c r="Q13" s="1145"/>
      <c r="R13" s="1145"/>
    </row>
    <row r="14" spans="1:18">
      <c r="A14" s="757" t="s">
        <v>837</v>
      </c>
      <c r="B14" s="1331" t="s">
        <v>1354</v>
      </c>
      <c r="C14" s="744">
        <f>('Income Statement'!C60+ABS('Income Statement'!C27+'Income Statement'!C28+'Income Statement'!C30+'Income Statement'!C48))/(ABS('Income Statement'!C48+'Income Statement'!C27))</f>
        <v>-2.565623876303488</v>
      </c>
      <c r="D14" s="744">
        <f>('Income Statement'!D60+ABS('Income Statement'!D27+'Income Statement'!D28+'Income Statement'!D30+'Income Statement'!D48))/(ABS('Income Statement'!D48+'Income Statement'!D27))</f>
        <v>5.438318698718871</v>
      </c>
      <c r="E14" s="744">
        <f>('Income Statement'!E60+ABS('Income Statement'!E27+'Income Statement'!E28+'Income Statement'!E30+'Income Statement'!E48))/(ABS('Income Statement'!E48+'Income Statement'!E27))</f>
        <v>63.215207489878544</v>
      </c>
      <c r="F14" s="744">
        <f>('Income Statement'!F60+ABS('Income Statement'!F27+'Income Statement'!F28+'Income Statement'!F30+'Income Statement'!F48))/(ABS('Income Statement'!F48+'Income Statement'!F27))</f>
        <v>137.41644562334218</v>
      </c>
      <c r="G14" s="744">
        <f>('Income Statement'!G60+ABS('Income Statement'!G27+'Income Statement'!G28+'Income Statement'!G30+'Income Statement'!G48))/(ABS('Income Statement'!G48+'Income Statement'!G27))</f>
        <v>700.73440183171147</v>
      </c>
      <c r="H14" s="1113" t="s">
        <v>903</v>
      </c>
      <c r="I14" s="756" t="s">
        <v>907</v>
      </c>
      <c r="J14" s="1144" t="s">
        <v>1556</v>
      </c>
      <c r="K14" s="1145"/>
      <c r="L14" s="1145"/>
      <c r="M14" s="1145"/>
      <c r="N14" s="1145"/>
      <c r="O14" s="1145"/>
      <c r="P14" s="1145"/>
      <c r="Q14" s="1145"/>
      <c r="R14" s="1145"/>
    </row>
    <row r="15" spans="1:18">
      <c r="A15" s="757"/>
      <c r="B15" s="1332"/>
      <c r="C15" s="744"/>
      <c r="D15" s="744"/>
      <c r="E15" s="744"/>
      <c r="F15" s="744"/>
      <c r="G15" s="744"/>
      <c r="H15" s="1113"/>
      <c r="I15" s="756"/>
      <c r="J15" s="1144"/>
      <c r="K15" s="1145"/>
      <c r="L15" s="1145"/>
      <c r="M15" s="1145"/>
      <c r="N15" s="1145"/>
      <c r="O15" s="1145"/>
      <c r="P15" s="1145"/>
      <c r="Q15" s="1145"/>
      <c r="R15" s="1145"/>
    </row>
    <row r="16" spans="1:18">
      <c r="A16" s="757" t="s">
        <v>862</v>
      </c>
      <c r="B16" s="756" t="s">
        <v>863</v>
      </c>
      <c r="C16" s="741">
        <f>('Balance Sheet'!C56+'Balance Sheet'!C59+'Balance Sheet'!C66+'Balance Sheet'!C69)/'Balance Sheet'!C53</f>
        <v>2.6637744606783058</v>
      </c>
      <c r="D16" s="741">
        <f>('Balance Sheet'!D56+'Balance Sheet'!D59+'Balance Sheet'!D66+'Balance Sheet'!D69)/'Balance Sheet'!D53</f>
        <v>2.2975095794251592</v>
      </c>
      <c r="E16" s="741">
        <f>('Balance Sheet'!E56+'Balance Sheet'!E59+'Balance Sheet'!E66+'Balance Sheet'!E69)/'Balance Sheet'!E53</f>
        <v>0.42361508077051108</v>
      </c>
      <c r="F16" s="741">
        <f>('Balance Sheet'!F56+'Balance Sheet'!F59+'Balance Sheet'!F66+'Balance Sheet'!F69)/'Balance Sheet'!F53</f>
        <v>0.17735980954134567</v>
      </c>
      <c r="G16" s="741">
        <f>('Balance Sheet'!G56+'Balance Sheet'!G59+'Balance Sheet'!G66+'Balance Sheet'!G69)/'Balance Sheet'!G53</f>
        <v>0.11120498980196959</v>
      </c>
      <c r="H16" s="1116" t="s">
        <v>902</v>
      </c>
      <c r="I16" s="756" t="s">
        <v>1338</v>
      </c>
      <c r="J16" s="1144" t="s">
        <v>1556</v>
      </c>
      <c r="K16" s="1145"/>
      <c r="L16" s="1145"/>
      <c r="M16" s="1145"/>
      <c r="N16" s="1145"/>
      <c r="O16" s="1145"/>
      <c r="P16" s="1145"/>
      <c r="Q16" s="1145"/>
      <c r="R16" s="1145"/>
    </row>
    <row r="17" spans="1:18">
      <c r="A17" s="27"/>
      <c r="B17" s="27"/>
      <c r="C17" s="742"/>
      <c r="D17" s="742"/>
      <c r="E17" s="742"/>
      <c r="F17" s="742"/>
      <c r="G17" s="742"/>
      <c r="H17" s="1114"/>
      <c r="I17" s="1124"/>
    </row>
    <row r="18" spans="1:18">
      <c r="A18" s="27"/>
      <c r="B18" s="27"/>
      <c r="C18" s="742"/>
      <c r="D18" s="742"/>
      <c r="E18" s="742"/>
      <c r="F18" s="742"/>
      <c r="G18" s="742"/>
      <c r="H18" s="1114"/>
      <c r="I18" s="1124"/>
    </row>
    <row r="19" spans="1:18" s="1148" customFormat="1" ht="15.75">
      <c r="A19" s="737" t="s">
        <v>838</v>
      </c>
      <c r="B19" s="755"/>
      <c r="C19" s="740"/>
      <c r="D19" s="740"/>
      <c r="E19" s="740"/>
      <c r="F19" s="740"/>
      <c r="G19" s="740"/>
      <c r="H19" s="1115"/>
      <c r="I19" s="1112"/>
      <c r="J19" s="1143"/>
      <c r="K19" s="1143"/>
      <c r="L19" s="1143"/>
      <c r="M19" s="1143"/>
      <c r="N19" s="1143"/>
      <c r="O19" s="1143"/>
      <c r="P19" s="1143"/>
      <c r="Q19" s="1143"/>
      <c r="R19" s="1143"/>
    </row>
    <row r="20" spans="1:18">
      <c r="A20" s="757" t="s">
        <v>839</v>
      </c>
      <c r="B20" s="756" t="s">
        <v>840</v>
      </c>
      <c r="C20" s="741">
        <f>'Income Statement'!C8/'Balance Sheet'!C41</f>
        <v>0.1613303772593451</v>
      </c>
      <c r="D20" s="741">
        <f>'Income Statement'!D8/'Balance Sheet'!D41</f>
        <v>1.0937861584216169</v>
      </c>
      <c r="E20" s="741">
        <f>'Income Statement'!E8/'Balance Sheet'!E41</f>
        <v>1.755048292897776</v>
      </c>
      <c r="F20" s="741">
        <f>'Income Statement'!F8/'Balance Sheet'!F41</f>
        <v>1.3890184410404312</v>
      </c>
      <c r="G20" s="741">
        <f>'Income Statement'!G8/'Balance Sheet'!G41</f>
        <v>1.163401615591624</v>
      </c>
      <c r="H20" s="1116" t="s">
        <v>908</v>
      </c>
      <c r="I20" s="1119" t="s">
        <v>913</v>
      </c>
      <c r="J20" s="1146" t="s">
        <v>1556</v>
      </c>
      <c r="K20" s="1146"/>
      <c r="L20" s="1146"/>
      <c r="M20" s="1146"/>
      <c r="N20" s="1146"/>
      <c r="O20" s="1146"/>
      <c r="P20" s="1146"/>
      <c r="Q20" s="1146"/>
      <c r="R20" s="1146"/>
    </row>
    <row r="21" spans="1:18">
      <c r="A21" s="757" t="s">
        <v>841</v>
      </c>
      <c r="B21" s="756" t="s">
        <v>842</v>
      </c>
      <c r="C21" s="741">
        <f>'Income Statement'!C8/'Balance Sheet'!C16</f>
        <v>0.20322438783328572</v>
      </c>
      <c r="D21" s="741">
        <f>'Income Statement'!D8/'Balance Sheet'!D16</f>
        <v>1.5656202558151708</v>
      </c>
      <c r="E21" s="741">
        <f>'Income Statement'!E8/'Balance Sheet'!E16</f>
        <v>5.0595806260340259</v>
      </c>
      <c r="F21" s="741">
        <f>'Income Statement'!F8/'Balance Sheet'!F16</f>
        <v>6.3643004564250889</v>
      </c>
      <c r="G21" s="741">
        <f>'Income Statement'!G8/'Balance Sheet'!G16</f>
        <v>8.699242711094282</v>
      </c>
      <c r="H21" s="1116" t="s">
        <v>909</v>
      </c>
      <c r="I21" s="1119" t="s">
        <v>914</v>
      </c>
      <c r="J21" s="1146" t="s">
        <v>1556</v>
      </c>
      <c r="K21" s="1146"/>
      <c r="L21" s="1146"/>
      <c r="M21" s="1146"/>
      <c r="N21" s="1146"/>
      <c r="O21" s="1146"/>
      <c r="P21" s="1146"/>
      <c r="Q21" s="1146"/>
      <c r="R21" s="1146"/>
    </row>
    <row r="22" spans="1:18">
      <c r="A22" s="757" t="s">
        <v>843</v>
      </c>
      <c r="B22" s="756" t="s">
        <v>844</v>
      </c>
      <c r="C22" s="741">
        <f>'Income Statement'!C8/'Balance Sheet'!C39</f>
        <v>0.78260034568849624</v>
      </c>
      <c r="D22" s="741">
        <f>'Income Statement'!D8/'Balance Sheet'!D39</f>
        <v>3.6293556879735145</v>
      </c>
      <c r="E22" s="741">
        <f>'Income Statement'!E8/'Balance Sheet'!E39</f>
        <v>2.6871603740890238</v>
      </c>
      <c r="F22" s="741">
        <f>'Income Statement'!F8/'Balance Sheet'!F39</f>
        <v>1.7768099719696024</v>
      </c>
      <c r="G22" s="741">
        <f>'Income Statement'!G8/'Balance Sheet'!G39</f>
        <v>1.3430104080287366</v>
      </c>
      <c r="H22" s="1116" t="s">
        <v>910</v>
      </c>
      <c r="I22" s="1119" t="s">
        <v>915</v>
      </c>
      <c r="J22" s="1146" t="s">
        <v>1556</v>
      </c>
      <c r="K22" s="1146"/>
      <c r="L22" s="1146"/>
      <c r="M22" s="1146"/>
      <c r="N22" s="1146"/>
      <c r="O22" s="1146"/>
      <c r="P22" s="1146"/>
      <c r="Q22" s="1146"/>
      <c r="R22" s="1146"/>
    </row>
    <row r="23" spans="1:18">
      <c r="A23" s="738"/>
      <c r="B23" s="27"/>
      <c r="C23" s="745"/>
      <c r="D23" s="745"/>
      <c r="E23" s="745"/>
      <c r="F23" s="745"/>
      <c r="G23" s="745"/>
      <c r="H23" s="1117"/>
      <c r="I23" s="1124"/>
    </row>
    <row r="24" spans="1:18">
      <c r="A24" s="27"/>
      <c r="B24" s="27"/>
      <c r="C24" s="742"/>
      <c r="D24" s="742"/>
      <c r="E24" s="742"/>
      <c r="F24" s="742"/>
      <c r="G24" s="742"/>
      <c r="H24" s="1118"/>
      <c r="I24" s="1124"/>
    </row>
    <row r="25" spans="1:18" s="1148" customFormat="1" ht="15.75">
      <c r="A25" s="737" t="s">
        <v>864</v>
      </c>
      <c r="B25" s="755"/>
      <c r="C25" s="740"/>
      <c r="D25" s="740"/>
      <c r="E25" s="740"/>
      <c r="F25" s="740"/>
      <c r="G25" s="740"/>
      <c r="H25" s="1112"/>
      <c r="I25" s="1112"/>
      <c r="J25" s="1143"/>
      <c r="K25" s="1143"/>
      <c r="L25" s="1143"/>
      <c r="M25" s="1143"/>
      <c r="N25" s="1143"/>
      <c r="O25" s="1143"/>
      <c r="P25" s="1143"/>
      <c r="Q25" s="1143"/>
      <c r="R25" s="1143"/>
    </row>
    <row r="26" spans="1:18">
      <c r="A26" s="757" t="s">
        <v>845</v>
      </c>
      <c r="B26" s="756" t="s">
        <v>846</v>
      </c>
      <c r="C26" s="746">
        <f>'Income Statement'!C5/'Balance Sheet'!C41</f>
        <v>0.1613303772593451</v>
      </c>
      <c r="D26" s="746">
        <f>'Income Statement'!D5/'Balance Sheet'!D41</f>
        <v>1.0937861584216169</v>
      </c>
      <c r="E26" s="746">
        <f>'Income Statement'!E5/'Balance Sheet'!E41</f>
        <v>1.755048292897776</v>
      </c>
      <c r="F26" s="746">
        <f>'Income Statement'!F5/'Balance Sheet'!F41</f>
        <v>1.3890184410404312</v>
      </c>
      <c r="G26" s="746">
        <f>'Income Statement'!G5/'Balance Sheet'!G41</f>
        <v>1.163401615591624</v>
      </c>
      <c r="H26" s="1116" t="s">
        <v>1330</v>
      </c>
      <c r="I26" s="1119" t="s">
        <v>1331</v>
      </c>
      <c r="J26" s="1146" t="s">
        <v>1556</v>
      </c>
      <c r="K26" s="1146"/>
      <c r="L26" s="1146"/>
      <c r="M26" s="1146"/>
      <c r="N26" s="1146"/>
      <c r="O26" s="1146"/>
      <c r="P26" s="1146"/>
      <c r="Q26" s="1146"/>
      <c r="R26" s="1146"/>
    </row>
    <row r="27" spans="1:18">
      <c r="A27" s="757" t="s">
        <v>1231</v>
      </c>
      <c r="B27" s="756" t="s">
        <v>1232</v>
      </c>
      <c r="C27" s="747">
        <f>'Income Statement'!C16/'Income Statement'!C5</f>
        <v>0.89717791411042946</v>
      </c>
      <c r="D27" s="747">
        <f>'Income Statement'!D16/'Income Statement'!D5</f>
        <v>0.89656453524444291</v>
      </c>
      <c r="E27" s="747">
        <f>'Income Statement'!E16/'Income Statement'!E5</f>
        <v>0.9052559632982411</v>
      </c>
      <c r="F27" s="747">
        <f>'Income Statement'!F16/'Income Statement'!F5</f>
        <v>0.90181586770231281</v>
      </c>
      <c r="G27" s="747">
        <f>'Income Statement'!G16/'Income Statement'!G5</f>
        <v>0.89172038517731822</v>
      </c>
      <c r="H27" s="1116" t="s">
        <v>911</v>
      </c>
      <c r="I27" s="1119" t="s">
        <v>1332</v>
      </c>
      <c r="J27" s="1146" t="s">
        <v>1556</v>
      </c>
      <c r="K27" s="1146"/>
      <c r="L27" s="1146"/>
      <c r="M27" s="1146"/>
      <c r="N27" s="1146"/>
      <c r="O27" s="1146"/>
      <c r="P27" s="1146"/>
      <c r="Q27" s="1146"/>
      <c r="R27" s="1146"/>
    </row>
    <row r="28" spans="1:18">
      <c r="A28" s="757" t="s">
        <v>1234</v>
      </c>
      <c r="B28" s="756" t="s">
        <v>1239</v>
      </c>
      <c r="C28" s="747">
        <f>'Income Statement'!C56/'Income Statement'!C5</f>
        <v>-1.4314333519241496</v>
      </c>
      <c r="D28" s="747">
        <f>'Income Statement'!D56/'Income Statement'!D5</f>
        <v>-4.4911447710123615E-3</v>
      </c>
      <c r="E28" s="747">
        <f>'Income Statement'!E56/'Income Statement'!E5</f>
        <v>0.37121849118269418</v>
      </c>
      <c r="F28" s="747">
        <f>'Income Statement'!F25/'Income Statement'!F5</f>
        <v>0.42787468798400619</v>
      </c>
      <c r="G28" s="747">
        <f>'Income Statement'!G25/'Income Statement'!G5</f>
        <v>0.48757763975155277</v>
      </c>
      <c r="H28" s="1116" t="s">
        <v>912</v>
      </c>
      <c r="I28" s="1119" t="s">
        <v>1333</v>
      </c>
      <c r="J28" s="1146" t="s">
        <v>1556</v>
      </c>
      <c r="K28" s="1146"/>
      <c r="L28" s="1146"/>
      <c r="M28" s="1146"/>
      <c r="N28" s="1146"/>
      <c r="O28" s="1146"/>
      <c r="P28" s="1146"/>
      <c r="Q28" s="1146"/>
      <c r="R28" s="1146"/>
    </row>
    <row r="29" spans="1:18">
      <c r="A29" s="757" t="s">
        <v>887</v>
      </c>
      <c r="B29" s="756" t="s">
        <v>1233</v>
      </c>
      <c r="C29" s="747">
        <f>'Income Statement'!C31/'Income Statement'!C5</f>
        <v>-1.1832682654768545</v>
      </c>
      <c r="D29" s="747">
        <f>'Income Statement'!D31/'Income Statement'!D5</f>
        <v>3.5513796472769289E-2</v>
      </c>
      <c r="E29" s="747">
        <f>'Income Statement'!E31/'Income Statement'!E5</f>
        <v>0.37769604348089764</v>
      </c>
      <c r="F29" s="747">
        <f>'Income Statement'!F31/'Income Statement'!F5</f>
        <v>0.36696800364975168</v>
      </c>
      <c r="G29" s="747">
        <f>'Income Statement'!G31/'Income Statement'!G5</f>
        <v>0.43607170786415783</v>
      </c>
      <c r="H29" s="1116" t="s">
        <v>1334</v>
      </c>
      <c r="I29" s="1119" t="s">
        <v>1336</v>
      </c>
      <c r="J29" s="1146" t="s">
        <v>1556</v>
      </c>
      <c r="K29" s="1146"/>
      <c r="L29" s="1146"/>
      <c r="M29" s="1146"/>
      <c r="N29" s="1146"/>
      <c r="O29" s="1146"/>
      <c r="P29" s="1146"/>
      <c r="Q29" s="1146"/>
      <c r="R29" s="1146"/>
    </row>
    <row r="30" spans="1:18">
      <c r="A30" s="757" t="s">
        <v>859</v>
      </c>
      <c r="B30" s="756" t="s">
        <v>1240</v>
      </c>
      <c r="C30" s="747">
        <f>'Income Statement'!C56/'Balance Sheet'!C53</f>
        <v>-0.84608892874096731</v>
      </c>
      <c r="D30" s="747">
        <f>'Income Statement'!D56/'Balance Sheet'!D53</f>
        <v>-1.6198528283607246E-2</v>
      </c>
      <c r="E30" s="747">
        <f>'Income Statement'!E56/'Balance Sheet'!E53</f>
        <v>0.9274941046977826</v>
      </c>
      <c r="F30" s="747">
        <f>'Income Statement'!F25/'Balance Sheet'!F53</f>
        <v>0.69973558507143196</v>
      </c>
      <c r="G30" s="747">
        <f>'Income Statement'!G25/'Balance Sheet'!G53</f>
        <v>0.6303295691061731</v>
      </c>
      <c r="H30" s="1116" t="s">
        <v>1335</v>
      </c>
      <c r="I30" s="756" t="s">
        <v>1337</v>
      </c>
      <c r="J30" s="1146" t="s">
        <v>1556</v>
      </c>
      <c r="K30" s="1146"/>
      <c r="L30" s="1146"/>
      <c r="M30" s="1146"/>
      <c r="N30" s="1146"/>
      <c r="O30" s="1146"/>
      <c r="P30" s="1146"/>
      <c r="Q30" s="1146"/>
      <c r="R30" s="1146"/>
    </row>
    <row r="31" spans="1:18">
      <c r="A31" s="757" t="s">
        <v>860</v>
      </c>
      <c r="B31" s="756" t="s">
        <v>1241</v>
      </c>
      <c r="C31" s="747">
        <f>'Income Statement'!C56/'Balance Sheet'!C41</f>
        <v>-0.23093368268753195</v>
      </c>
      <c r="D31" s="747">
        <f>'Income Statement'!D56/'Balance Sheet'!D41</f>
        <v>-4.9123519860009429E-3</v>
      </c>
      <c r="E31" s="747">
        <f>'Income Statement'!E56/'Balance Sheet'!E41</f>
        <v>0.6515063792422755</v>
      </c>
      <c r="F31" s="747">
        <f>'Income Statement'!F25/'Balance Sheet'!F41</f>
        <v>0.5943258320642052</v>
      </c>
      <c r="G31" s="747">
        <f>'Income Statement'!G25/'Balance Sheet'!G41</f>
        <v>0.56724861381330738</v>
      </c>
      <c r="H31" s="1116" t="s">
        <v>1339</v>
      </c>
      <c r="I31" s="756" t="s">
        <v>1340</v>
      </c>
      <c r="J31" s="1146" t="s">
        <v>1556</v>
      </c>
      <c r="K31" s="1146"/>
      <c r="L31" s="1146"/>
      <c r="M31" s="1146"/>
      <c r="N31" s="1146"/>
      <c r="O31" s="1146"/>
      <c r="P31" s="1146"/>
      <c r="Q31" s="1146"/>
      <c r="R31" s="1146"/>
    </row>
    <row r="32" spans="1:18">
      <c r="A32" s="738"/>
      <c r="B32" s="535"/>
      <c r="C32" s="745"/>
      <c r="D32" s="745"/>
      <c r="E32" s="745"/>
      <c r="F32" s="745"/>
      <c r="G32" s="745"/>
      <c r="H32" s="1117"/>
      <c r="I32" s="1124"/>
      <c r="J32" s="1147"/>
    </row>
    <row r="33" spans="1:18">
      <c r="A33" s="738"/>
      <c r="B33" s="535"/>
      <c r="C33" s="745"/>
      <c r="D33" s="745"/>
      <c r="E33" s="745"/>
      <c r="F33" s="745"/>
      <c r="G33" s="745"/>
      <c r="H33" s="1117"/>
      <c r="I33" s="1124"/>
      <c r="J33" s="1147"/>
    </row>
    <row r="34" spans="1:18" s="1148" customFormat="1" ht="15.75">
      <c r="A34" s="737" t="s">
        <v>865</v>
      </c>
      <c r="B34" s="755"/>
      <c r="C34" s="740"/>
      <c r="D34" s="740"/>
      <c r="E34" s="740"/>
      <c r="F34" s="740"/>
      <c r="G34" s="740"/>
      <c r="H34" s="1112"/>
      <c r="I34" s="1112"/>
      <c r="J34" s="1143"/>
      <c r="K34" s="1143"/>
      <c r="L34" s="1143"/>
      <c r="M34" s="1143"/>
      <c r="N34" s="1143"/>
      <c r="O34" s="1143"/>
      <c r="P34" s="1143"/>
      <c r="Q34" s="1143"/>
      <c r="R34" s="1143"/>
    </row>
    <row r="35" spans="1:18" ht="12.75" customHeight="1">
      <c r="A35" s="757" t="s">
        <v>847</v>
      </c>
      <c r="B35" s="756" t="s">
        <v>848</v>
      </c>
      <c r="C35" s="741">
        <f>IF('Balance Sheet'!C20=0,0,('Income Statement'!C14)/'Balance Sheet'!C20)</f>
        <v>0</v>
      </c>
      <c r="D35" s="741">
        <f>IF('Balance Sheet'!D20=0,0,('Income Statement'!D14)/'Balance Sheet'!D20)</f>
        <v>0</v>
      </c>
      <c r="E35" s="741">
        <f>IF('Balance Sheet'!E20=0,0,('Income Statement'!E14)/'Balance Sheet'!E20)</f>
        <v>0</v>
      </c>
      <c r="F35" s="741">
        <f>IF('Balance Sheet'!F20=0,0,('Income Statement'!F14)/'Balance Sheet'!F20)</f>
        <v>0</v>
      </c>
      <c r="G35" s="741">
        <f>IF('Balance Sheet'!G20=0,0,('Income Statement'!G14)/'Balance Sheet'!G20)</f>
        <v>0</v>
      </c>
      <c r="H35" s="27"/>
      <c r="I35" s="1119" t="s">
        <v>1235</v>
      </c>
      <c r="J35" s="1146" t="s">
        <v>1556</v>
      </c>
      <c r="K35" s="1146"/>
      <c r="L35" s="1146"/>
      <c r="M35" s="1146"/>
      <c r="N35" s="1146"/>
      <c r="O35" s="1146"/>
      <c r="P35" s="1146"/>
      <c r="Q35" s="1146"/>
      <c r="R35" s="1146"/>
    </row>
    <row r="36" spans="1:18">
      <c r="A36" s="757" t="s">
        <v>849</v>
      </c>
      <c r="B36" s="756" t="s">
        <v>850</v>
      </c>
      <c r="C36" s="748">
        <f>IF(C35=0,0,360/C35)</f>
        <v>0</v>
      </c>
      <c r="D36" s="748">
        <f>IF(D35=0,0,360/D35)</f>
        <v>0</v>
      </c>
      <c r="E36" s="748">
        <f>IF(E35=0,0,360/E35)</f>
        <v>0</v>
      </c>
      <c r="F36" s="748">
        <f>IF(F35=0,0,360/F35)</f>
        <v>0</v>
      </c>
      <c r="G36" s="748">
        <f>IF(G35=0,0,360/G35)</f>
        <v>0</v>
      </c>
      <c r="H36" s="1116" t="s">
        <v>1341</v>
      </c>
      <c r="I36" s="1119" t="s">
        <v>1236</v>
      </c>
      <c r="J36" s="1146" t="s">
        <v>1556</v>
      </c>
      <c r="K36" s="1146"/>
      <c r="L36" s="1146"/>
      <c r="M36" s="1146"/>
      <c r="N36" s="1146"/>
      <c r="O36" s="1146"/>
      <c r="P36" s="1146"/>
      <c r="Q36" s="1146"/>
      <c r="R36" s="1146"/>
    </row>
    <row r="37" spans="1:18" ht="12.75" customHeight="1">
      <c r="A37" s="757" t="s">
        <v>851</v>
      </c>
      <c r="B37" s="756" t="s">
        <v>852</v>
      </c>
      <c r="C37" s="741">
        <f>IF('Balance Sheet'!C23=0,0,'Income Statement'!C5/'Balance Sheet'!C23)</f>
        <v>0</v>
      </c>
      <c r="D37" s="741">
        <f>IF('Balance Sheet'!D23=0,0,'Income Statement'!D5/'Balance Sheet'!D23)</f>
        <v>0</v>
      </c>
      <c r="E37" s="741">
        <f>IF('Balance Sheet'!E23=0,0,'Income Statement'!E5/'Balance Sheet'!E23)</f>
        <v>0</v>
      </c>
      <c r="F37" s="741">
        <f>IF('Balance Sheet'!F23=0,0,'Income Statement'!F5/'Balance Sheet'!F23)</f>
        <v>0</v>
      </c>
      <c r="G37" s="741">
        <f>IF('Balance Sheet'!G23=0,0,'Income Statement'!G5/'Balance Sheet'!G23)</f>
        <v>0</v>
      </c>
      <c r="H37" s="1116"/>
      <c r="I37" s="1119" t="s">
        <v>1237</v>
      </c>
      <c r="J37" s="1146" t="s">
        <v>1556</v>
      </c>
      <c r="K37" s="1146"/>
      <c r="L37" s="1146"/>
      <c r="M37" s="1146"/>
      <c r="N37" s="1146"/>
      <c r="O37" s="1146"/>
      <c r="P37" s="1146"/>
      <c r="Q37" s="1146"/>
      <c r="R37" s="1146"/>
    </row>
    <row r="38" spans="1:18">
      <c r="A38" s="757" t="s">
        <v>853</v>
      </c>
      <c r="B38" s="756" t="s">
        <v>854</v>
      </c>
      <c r="C38" s="748">
        <f>IF(C37=0,0,360/C37)</f>
        <v>0</v>
      </c>
      <c r="D38" s="748">
        <f>IF(D37=0,0,360/D37)</f>
        <v>0</v>
      </c>
      <c r="E38" s="748">
        <f>IF(E37=0,0,360/E37)</f>
        <v>0</v>
      </c>
      <c r="F38" s="748">
        <f>IF(F37=0,0,360/F37)</f>
        <v>0</v>
      </c>
      <c r="G38" s="748">
        <f>IF(G37=0,0,360/G37)</f>
        <v>0</v>
      </c>
      <c r="H38" s="1116" t="s">
        <v>1343</v>
      </c>
      <c r="I38" s="1119" t="s">
        <v>1348</v>
      </c>
      <c r="J38" s="1146" t="s">
        <v>1556</v>
      </c>
      <c r="K38" s="1146"/>
      <c r="L38" s="1146"/>
      <c r="M38" s="1146"/>
      <c r="N38" s="1146"/>
      <c r="O38" s="1146"/>
      <c r="P38" s="1146"/>
      <c r="Q38" s="1146"/>
      <c r="R38" s="1146"/>
    </row>
    <row r="39" spans="1:18">
      <c r="A39" s="757" t="s">
        <v>855</v>
      </c>
      <c r="B39" s="756" t="s">
        <v>856</v>
      </c>
      <c r="C39" s="741">
        <f>ABS('Income Statement'!C14)/'Balance Sheet'!C63</f>
        <v>16.343971631205672</v>
      </c>
      <c r="D39" s="741">
        <f>ABS('Income Statement'!D14)/'Balance Sheet'!D63</f>
        <v>16.271770894213908</v>
      </c>
      <c r="E39" s="741">
        <f>ABS('Income Statement'!E14)/'Balance Sheet'!E63</f>
        <v>15.211578947368421</v>
      </c>
      <c r="F39" s="741">
        <f>ABS('Income Statement'!F14)/'Balance Sheet'!F63</f>
        <v>14.517659190513019</v>
      </c>
      <c r="G39" s="741">
        <f>ABS('Income Statement'!G14)/'Balance Sheet'!G63</f>
        <v>13.325729845549505</v>
      </c>
      <c r="H39" s="1119"/>
      <c r="I39" s="1119" t="s">
        <v>1238</v>
      </c>
      <c r="J39" s="1146" t="s">
        <v>1556</v>
      </c>
      <c r="K39" s="1146"/>
      <c r="L39" s="1146"/>
      <c r="M39" s="1146"/>
      <c r="N39" s="1146"/>
      <c r="O39" s="1146"/>
      <c r="P39" s="1146"/>
      <c r="Q39" s="1146"/>
      <c r="R39" s="1146"/>
    </row>
    <row r="40" spans="1:18">
      <c r="A40" s="757" t="s">
        <v>857</v>
      </c>
      <c r="B40" s="756" t="s">
        <v>858</v>
      </c>
      <c r="C40" s="748">
        <f>360/C39</f>
        <v>22.026469950097638</v>
      </c>
      <c r="D40" s="748">
        <f>360/D39</f>
        <v>22.124205308717361</v>
      </c>
      <c r="E40" s="748">
        <f>360/E39</f>
        <v>23.666182271123105</v>
      </c>
      <c r="F40" s="748">
        <f>360/F39</f>
        <v>24.797386085165321</v>
      </c>
      <c r="G40" s="748">
        <f>360/G39</f>
        <v>27.015405848125603</v>
      </c>
      <c r="H40" s="1116" t="s">
        <v>1342</v>
      </c>
      <c r="I40" s="1119" t="s">
        <v>1349</v>
      </c>
      <c r="J40" s="1146" t="s">
        <v>1556</v>
      </c>
      <c r="K40" s="1146"/>
      <c r="L40" s="1146"/>
      <c r="M40" s="1146"/>
      <c r="N40" s="1146"/>
      <c r="O40" s="1146"/>
      <c r="P40" s="1146"/>
      <c r="Q40" s="1146"/>
      <c r="R40" s="1146"/>
    </row>
    <row r="41" spans="1:18">
      <c r="A41" s="27"/>
      <c r="B41" s="27"/>
      <c r="C41" s="742"/>
      <c r="D41" s="742"/>
      <c r="E41" s="742"/>
      <c r="F41" s="742"/>
      <c r="G41" s="742"/>
      <c r="H41" s="1118"/>
      <c r="I41" s="1124"/>
    </row>
    <row r="42" spans="1:18">
      <c r="A42" s="27"/>
      <c r="B42" s="27"/>
      <c r="C42" s="742"/>
      <c r="D42" s="742"/>
      <c r="E42" s="742"/>
      <c r="F42" s="742"/>
      <c r="G42" s="742"/>
      <c r="H42" s="1118"/>
      <c r="I42" s="1124"/>
    </row>
    <row r="43" spans="1:18" s="1148" customFormat="1" ht="15.75">
      <c r="A43" s="737" t="s">
        <v>1247</v>
      </c>
      <c r="B43" s="755"/>
      <c r="C43" s="740"/>
      <c r="D43" s="740"/>
      <c r="E43" s="740"/>
      <c r="F43" s="740"/>
      <c r="G43" s="740"/>
      <c r="H43" s="1112"/>
      <c r="I43" s="1112"/>
      <c r="J43" s="1143"/>
      <c r="K43" s="1143"/>
      <c r="L43" s="1143"/>
      <c r="M43" s="1143"/>
      <c r="N43" s="1143"/>
      <c r="O43" s="1143"/>
      <c r="P43" s="1143"/>
      <c r="Q43" s="1143"/>
      <c r="R43" s="1143"/>
    </row>
    <row r="44" spans="1:18" ht="25.5">
      <c r="A44" s="757" t="s">
        <v>1248</v>
      </c>
      <c r="B44" s="1127" t="s">
        <v>1209</v>
      </c>
      <c r="C44" s="747">
        <f>ABS('Income Statement'!C43)/('Income Statement'!C8+'Income Statement'!C37)</f>
        <v>0</v>
      </c>
      <c r="D44" s="747">
        <f>ABS('Income Statement'!D43)/('Income Statement'!D8+'Income Statement'!D37)</f>
        <v>0</v>
      </c>
      <c r="E44" s="747">
        <f>ABS('Income Statement'!E43)/('Income Statement'!E8+'Income Statement'!E37)</f>
        <v>0</v>
      </c>
      <c r="F44" s="747">
        <f>ABS('Income Statement'!F43)/('Income Statement'!F8+'Income Statement'!F37)</f>
        <v>0</v>
      </c>
      <c r="G44" s="747">
        <f>ABS('Income Statement'!G43)/('Income Statement'!G8+'Income Statement'!G37)</f>
        <v>0</v>
      </c>
      <c r="H44" s="756"/>
      <c r="I44" s="756" t="s">
        <v>1249</v>
      </c>
      <c r="J44" s="1145" t="s">
        <v>1556</v>
      </c>
      <c r="K44" s="1145"/>
      <c r="L44" s="1145"/>
      <c r="M44" s="1145"/>
      <c r="N44" s="1145"/>
      <c r="O44" s="1145"/>
      <c r="P44" s="1145"/>
      <c r="Q44" s="1145"/>
      <c r="R44" s="1145"/>
    </row>
    <row r="45" spans="1:18">
      <c r="A45" s="757" t="s">
        <v>1250</v>
      </c>
      <c r="B45" s="756" t="s">
        <v>1356</v>
      </c>
      <c r="C45" s="747">
        <f>ABS('Income Statement'!C40)/('Income Statement'!C8+'Income Statement'!C37)</f>
        <v>0</v>
      </c>
      <c r="D45" s="747">
        <f>ABS('Income Statement'!D40)/('Income Statement'!D8+'Income Statement'!D37)</f>
        <v>0</v>
      </c>
      <c r="E45" s="747">
        <f>ABS('Income Statement'!E40)/('Income Statement'!E8+'Income Statement'!E37)</f>
        <v>0</v>
      </c>
      <c r="F45" s="747">
        <f>ABS('Income Statement'!F40)/('Income Statement'!F8+'Income Statement'!F37)</f>
        <v>0</v>
      </c>
      <c r="G45" s="747">
        <f>ABS('Income Statement'!G40)/('Income Statement'!G8+'Income Statement'!G37)</f>
        <v>0</v>
      </c>
      <c r="H45" s="756"/>
      <c r="I45" s="756" t="s">
        <v>1253</v>
      </c>
      <c r="J45" s="1145" t="s">
        <v>1556</v>
      </c>
      <c r="K45" s="1145"/>
      <c r="L45" s="1145"/>
      <c r="M45" s="1145"/>
      <c r="N45" s="1145"/>
      <c r="O45" s="1145"/>
      <c r="P45" s="1145"/>
      <c r="Q45" s="1145"/>
      <c r="R45" s="1145"/>
    </row>
    <row r="46" spans="1:18">
      <c r="A46" s="757" t="s">
        <v>1251</v>
      </c>
      <c r="B46" s="756" t="s">
        <v>1357</v>
      </c>
      <c r="C46" s="747">
        <f>ABS('Income Statement'!C41)/('Income Statement'!C8+'Income Statement'!C37)</f>
        <v>0</v>
      </c>
      <c r="D46" s="747">
        <f>ABS('Income Statement'!D41)/('Income Statement'!D8+'Income Statement'!D37)</f>
        <v>0</v>
      </c>
      <c r="E46" s="747">
        <f>ABS('Income Statement'!E41)/('Income Statement'!E8+'Income Statement'!E37)</f>
        <v>0</v>
      </c>
      <c r="F46" s="747">
        <f>ABS('Income Statement'!F41)/('Income Statement'!F8+'Income Statement'!F37)</f>
        <v>0</v>
      </c>
      <c r="G46" s="747">
        <f>ABS('Income Statement'!G41)/('Income Statement'!G8+'Income Statement'!G37)</f>
        <v>0</v>
      </c>
      <c r="H46" s="756"/>
      <c r="I46" s="756" t="s">
        <v>1254</v>
      </c>
      <c r="J46" s="1145" t="s">
        <v>1556</v>
      </c>
      <c r="K46" s="1145"/>
      <c r="L46" s="1145"/>
      <c r="M46" s="1145"/>
      <c r="N46" s="1145"/>
      <c r="O46" s="1145"/>
      <c r="P46" s="1145"/>
      <c r="Q46" s="1145"/>
      <c r="R46" s="1145"/>
    </row>
    <row r="47" spans="1:18">
      <c r="A47" s="757" t="s">
        <v>1252</v>
      </c>
      <c r="B47" s="756" t="s">
        <v>1358</v>
      </c>
      <c r="C47" s="747">
        <f>ABS('Income Statement'!C42)/('Income Statement'!C8+'Income Statement'!C37)</f>
        <v>0</v>
      </c>
      <c r="D47" s="747">
        <f>ABS('Income Statement'!E42)/('Income Statement'!E8+'Income Statement'!E37)</f>
        <v>0</v>
      </c>
      <c r="E47" s="747">
        <f>ABS('Income Statement'!F42)/('Income Statement'!F8+'Income Statement'!F37)</f>
        <v>0</v>
      </c>
      <c r="F47" s="747">
        <f>ABS('Income Statement'!G42)/('Income Statement'!G8+'Income Statement'!G37)</f>
        <v>0</v>
      </c>
      <c r="G47" s="747">
        <v>0</v>
      </c>
      <c r="H47" s="756"/>
      <c r="I47" s="756" t="s">
        <v>1255</v>
      </c>
      <c r="J47" s="1145" t="s">
        <v>1556</v>
      </c>
      <c r="K47" s="1145"/>
      <c r="L47" s="1145"/>
      <c r="M47" s="1145"/>
      <c r="N47" s="1145"/>
      <c r="O47" s="1145"/>
      <c r="P47" s="1145"/>
      <c r="Q47" s="1145"/>
      <c r="R47" s="1145"/>
    </row>
    <row r="48" spans="1:18" ht="25.5">
      <c r="A48" s="1126" t="s">
        <v>1207</v>
      </c>
      <c r="B48" s="1127" t="s">
        <v>1210</v>
      </c>
      <c r="C48" s="747">
        <f>'Income Statement'!C37/('Income Statement'!C8+'Income Statement'!C37)</f>
        <v>0</v>
      </c>
      <c r="D48" s="747">
        <f>'Income Statement'!D37/('Income Statement'!D8+'Income Statement'!D37)</f>
        <v>0</v>
      </c>
      <c r="E48" s="747">
        <f>'Income Statement'!E37/('Income Statement'!E8+'Income Statement'!E37)</f>
        <v>0</v>
      </c>
      <c r="F48" s="747">
        <f>'Income Statement'!F37/('Income Statement'!F8+'Income Statement'!F37)</f>
        <v>0</v>
      </c>
      <c r="G48" s="747">
        <f>'Income Statement'!G37/('Income Statement'!G8+'Income Statement'!G37)</f>
        <v>0</v>
      </c>
      <c r="H48" s="756"/>
      <c r="I48" s="756" t="s">
        <v>1256</v>
      </c>
      <c r="J48" s="1145" t="s">
        <v>1556</v>
      </c>
      <c r="K48" s="1145"/>
      <c r="L48" s="1145"/>
      <c r="M48" s="1145"/>
      <c r="N48" s="1145"/>
      <c r="O48" s="1145"/>
      <c r="P48" s="1145"/>
      <c r="Q48" s="1145"/>
      <c r="R48" s="1145"/>
    </row>
    <row r="49" spans="1:18" ht="25.5">
      <c r="A49" s="1126" t="s">
        <v>1208</v>
      </c>
      <c r="B49" s="756" t="s">
        <v>1355</v>
      </c>
      <c r="C49" s="747">
        <f>IF('Income Statement'!C43=0,0,'Income Statement'!C37/ABS('Income Statement'!C43))</f>
        <v>0</v>
      </c>
      <c r="D49" s="747">
        <f>IF('Income Statement'!D43=0,0,'Income Statement'!D37/ABS('Income Statement'!D43))</f>
        <v>0</v>
      </c>
      <c r="E49" s="747">
        <f>IF('Income Statement'!E43=0,0,'Income Statement'!E37/ABS('Income Statement'!E43))</f>
        <v>0</v>
      </c>
      <c r="F49" s="747">
        <f>IF('Income Statement'!F43=0,0,'Income Statement'!F37/ABS('Income Statement'!F43))</f>
        <v>0</v>
      </c>
      <c r="G49" s="747">
        <f>IF('Income Statement'!G43=0,0,'Income Statement'!G37/ABS('Income Statement'!G43))</f>
        <v>0</v>
      </c>
      <c r="H49" s="756"/>
      <c r="I49" s="756" t="s">
        <v>1257</v>
      </c>
      <c r="J49" s="1145" t="s">
        <v>1556</v>
      </c>
      <c r="K49" s="1145"/>
      <c r="L49" s="1145"/>
      <c r="M49" s="1145"/>
      <c r="N49" s="1145"/>
      <c r="O49" s="1145"/>
      <c r="P49" s="1145"/>
      <c r="Q49" s="1145"/>
      <c r="R49" s="1145"/>
    </row>
    <row r="50" spans="1:18">
      <c r="A50" s="757" t="s">
        <v>1271</v>
      </c>
      <c r="B50" s="756" t="s">
        <v>1272</v>
      </c>
      <c r="C50" s="747">
        <f>'Balance Sheet'!C48/'Balance Sheet'!C53</f>
        <v>0</v>
      </c>
      <c r="D50" s="747">
        <f>'Balance Sheet'!D48/'Balance Sheet'!D53</f>
        <v>0</v>
      </c>
      <c r="E50" s="747">
        <f>'Balance Sheet'!E48/'Balance Sheet'!E53</f>
        <v>0</v>
      </c>
      <c r="F50" s="747">
        <f>'Balance Sheet'!F48/'Balance Sheet'!F53</f>
        <v>0</v>
      </c>
      <c r="G50" s="747">
        <f>'Balance Sheet'!G48/'Balance Sheet'!G53</f>
        <v>0</v>
      </c>
      <c r="H50" s="756"/>
      <c r="I50" s="756" t="s">
        <v>1273</v>
      </c>
      <c r="J50" s="1145" t="s">
        <v>1556</v>
      </c>
      <c r="K50" s="1145"/>
      <c r="L50" s="1145"/>
      <c r="M50" s="1145"/>
      <c r="N50" s="1145"/>
      <c r="O50" s="1145"/>
      <c r="P50" s="1145"/>
      <c r="Q50" s="1145"/>
      <c r="R50" s="1145"/>
    </row>
    <row r="51" spans="1:18">
      <c r="A51" s="757" t="s">
        <v>1258</v>
      </c>
      <c r="B51" s="756"/>
      <c r="C51" s="749"/>
      <c r="D51" s="749"/>
      <c r="E51" s="749"/>
      <c r="F51" s="749"/>
      <c r="G51" s="749"/>
      <c r="H51" s="756"/>
      <c r="I51" s="756"/>
      <c r="J51" s="1145" t="s">
        <v>1556</v>
      </c>
      <c r="K51" s="1145"/>
      <c r="L51" s="1145"/>
      <c r="M51" s="1145"/>
      <c r="N51" s="1145"/>
      <c r="O51" s="1145"/>
      <c r="P51" s="1145"/>
      <c r="Q51" s="1145"/>
      <c r="R51" s="1145"/>
    </row>
    <row r="52" spans="1:18">
      <c r="A52" s="757" t="s">
        <v>1555</v>
      </c>
      <c r="B52" s="756" t="s">
        <v>1326</v>
      </c>
      <c r="C52" s="750">
        <f>6/6</f>
        <v>1</v>
      </c>
      <c r="D52" s="750">
        <f>6/6</f>
        <v>1</v>
      </c>
      <c r="E52" s="750">
        <f>6/6</f>
        <v>1</v>
      </c>
      <c r="F52" s="750">
        <f>6/6</f>
        <v>1</v>
      </c>
      <c r="G52" s="750">
        <f>6/6</f>
        <v>1</v>
      </c>
      <c r="H52" s="756" t="s">
        <v>1346</v>
      </c>
      <c r="I52" s="756" t="s">
        <v>356</v>
      </c>
      <c r="J52" s="1145" t="s">
        <v>1556</v>
      </c>
      <c r="K52" s="1145"/>
      <c r="L52" s="1145"/>
      <c r="M52" s="1145"/>
      <c r="N52" s="1145"/>
      <c r="O52" s="1145"/>
      <c r="P52" s="1145"/>
      <c r="Q52" s="1145"/>
      <c r="R52" s="1145"/>
    </row>
    <row r="53" spans="1:18">
      <c r="A53" s="757" t="s">
        <v>1325</v>
      </c>
      <c r="B53" s="756" t="s">
        <v>1327</v>
      </c>
      <c r="C53" s="750">
        <f>3/6</f>
        <v>0.5</v>
      </c>
      <c r="D53" s="750">
        <f>3/6</f>
        <v>0.5</v>
      </c>
      <c r="E53" s="750">
        <f>3/6</f>
        <v>0.5</v>
      </c>
      <c r="F53" s="750">
        <f>3/6</f>
        <v>0.5</v>
      </c>
      <c r="G53" s="750">
        <f>3/6</f>
        <v>0.5</v>
      </c>
      <c r="H53" s="756" t="s">
        <v>1347</v>
      </c>
      <c r="I53" s="756" t="s">
        <v>357</v>
      </c>
      <c r="J53" s="1145" t="s">
        <v>1556</v>
      </c>
      <c r="K53" s="1145"/>
      <c r="L53" s="1145"/>
      <c r="M53" s="1145"/>
      <c r="N53" s="1145"/>
      <c r="O53" s="1145"/>
      <c r="P53" s="1145"/>
      <c r="Q53" s="1145"/>
      <c r="R53" s="1145"/>
    </row>
    <row r="54" spans="1:18">
      <c r="A54" s="27"/>
      <c r="B54" s="27"/>
      <c r="C54" s="751"/>
      <c r="D54" s="751"/>
      <c r="E54" s="751"/>
      <c r="F54" s="751"/>
      <c r="G54" s="751"/>
      <c r="H54" s="1118"/>
      <c r="I54" s="1124"/>
      <c r="J54" s="22" t="s">
        <v>1556</v>
      </c>
    </row>
    <row r="55" spans="1:18" s="1148" customFormat="1" ht="15.75">
      <c r="A55" s="737" t="s">
        <v>987</v>
      </c>
      <c r="B55" s="755"/>
      <c r="C55" s="740"/>
      <c r="D55" s="740"/>
      <c r="E55" s="740"/>
      <c r="F55" s="740"/>
      <c r="G55" s="740"/>
      <c r="H55" s="1112"/>
      <c r="I55" s="1112"/>
      <c r="J55" s="1143"/>
      <c r="K55" s="1143"/>
      <c r="L55" s="1143"/>
      <c r="M55" s="1143"/>
      <c r="N55" s="1143"/>
      <c r="O55" s="1143"/>
      <c r="P55" s="1143"/>
      <c r="Q55" s="1143"/>
      <c r="R55" s="1143"/>
    </row>
    <row r="56" spans="1:18">
      <c r="A56" s="757" t="s">
        <v>988</v>
      </c>
      <c r="B56" s="756" t="s">
        <v>989</v>
      </c>
      <c r="C56" s="752">
        <f>+'Balance Sheet'!C34+'Balance Sheet'!C23+'Balance Sheet'!C25+'Balance Sheet'!C26+'Balance Sheet'!C27-'Balance Sheet'!E62</f>
        <v>-122870.50222864126</v>
      </c>
      <c r="D56" s="752">
        <f>+'Balance Sheet'!D34+'Balance Sheet'!D23+'Balance Sheet'!D25+'Balance Sheet'!D26+'Balance Sheet'!D27-'Balance Sheet'!F62</f>
        <v>-30455.931892326895</v>
      </c>
      <c r="E56" s="752">
        <f>+'Balance Sheet'!E34+'Balance Sheet'!E23+'Balance Sheet'!E25+'Balance Sheet'!E26+'Balance Sheet'!E27-'Balance Sheet'!G62</f>
        <v>412002.94612245902</v>
      </c>
      <c r="F56" s="752">
        <f>+'Balance Sheet'!F34+'Balance Sheet'!F23+'Balance Sheet'!F25+'Balance Sheet'!F26+'Balance Sheet'!F27-'Balance Sheet'!H62</f>
        <v>968401.25120000006</v>
      </c>
      <c r="G56" s="752">
        <f>+'Balance Sheet'!G34+'Balance Sheet'!G23+'Balance Sheet'!G25+'Balance Sheet'!G26+'Balance Sheet'!G27-'Balance Sheet'!I62</f>
        <v>2052824.0016000001</v>
      </c>
      <c r="H56" s="756" t="s">
        <v>1344</v>
      </c>
      <c r="I56" s="756"/>
      <c r="J56" s="1145"/>
      <c r="K56" s="1145"/>
      <c r="L56" s="1145"/>
      <c r="M56" s="1145"/>
      <c r="N56" s="1145"/>
      <c r="O56" s="1145"/>
      <c r="P56" s="1145"/>
      <c r="Q56" s="1145"/>
      <c r="R56" s="1145"/>
    </row>
    <row r="57" spans="1:18">
      <c r="A57" s="757" t="s">
        <v>990</v>
      </c>
      <c r="B57" s="756" t="s">
        <v>991</v>
      </c>
      <c r="C57" s="752">
        <f>+'Balance Sheet'!C53+'Balance Sheet'!C62</f>
        <v>276638</v>
      </c>
      <c r="D57" s="752">
        <f>+'Balance Sheet'!D53+'Balance Sheet'!D62</f>
        <v>237150.74201019824</v>
      </c>
      <c r="E57" s="752">
        <f>+'Balance Sheet'!E53+'Balance Sheet'!E62</f>
        <v>611702.65222864132</v>
      </c>
      <c r="F57" s="752">
        <f>+'Balance Sheet'!F53+'Balance Sheet'!F62</f>
        <v>1135341.8322923267</v>
      </c>
      <c r="G57" s="752">
        <f>+'Balance Sheet'!G53+'Balance Sheet'!G62</f>
        <v>2174676.7046775408</v>
      </c>
      <c r="H57" s="756" t="s">
        <v>1345</v>
      </c>
      <c r="I57" s="756"/>
      <c r="J57" s="1145"/>
      <c r="K57" s="1145"/>
      <c r="L57" s="1145"/>
      <c r="M57" s="1145"/>
      <c r="N57" s="1145"/>
      <c r="O57" s="1145"/>
      <c r="P57" s="1145"/>
      <c r="Q57" s="1145"/>
      <c r="R57" s="1145"/>
    </row>
    <row r="58" spans="1:18" ht="13.5" thickBot="1">
      <c r="A58" s="28"/>
      <c r="B58" s="28"/>
      <c r="C58" s="753"/>
      <c r="D58" s="753"/>
      <c r="E58" s="753"/>
      <c r="F58" s="753"/>
      <c r="G58" s="753"/>
      <c r="H58" s="1120"/>
      <c r="I58" s="1125"/>
    </row>
    <row r="59" spans="1:18">
      <c r="A59" s="13"/>
    </row>
  </sheetData>
  <mergeCells count="1">
    <mergeCell ref="B14:B15"/>
  </mergeCells>
  <phoneticPr fontId="114" type="noConversion"/>
  <pageMargins left="0.36" right="0.22" top="0.74803149606299213" bottom="0.74803149606299213" header="0.31496062992125984" footer="0.31496062992125984"/>
  <pageSetup paperSize="9" scale="36"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249977111117893"/>
    <pageSetUpPr fitToPage="1"/>
  </sheetPr>
  <dimension ref="A1:IV84"/>
  <sheetViews>
    <sheetView topLeftCell="A25" workbookViewId="0">
      <selection activeCell="E8" sqref="E8"/>
    </sheetView>
  </sheetViews>
  <sheetFormatPr defaultColWidth="9.140625" defaultRowHeight="12.75"/>
  <cols>
    <col min="1" max="1" width="17.42578125" style="1037" customWidth="1"/>
    <col min="2" max="2" width="4.7109375" style="1037" customWidth="1"/>
    <col min="3" max="3" width="11.42578125" style="1037" bestFit="1" customWidth="1"/>
    <col min="4" max="4" width="6.28515625" style="1037" customWidth="1"/>
    <col min="5" max="5" width="16.85546875" style="1037" bestFit="1" customWidth="1"/>
    <col min="6" max="6" width="2.42578125" style="1037" hidden="1" customWidth="1"/>
    <col min="7" max="7" width="20.42578125" style="1037" bestFit="1" customWidth="1"/>
    <col min="8" max="8" width="9.42578125" style="1037" customWidth="1"/>
    <col min="9" max="9" width="2.42578125" style="1037" bestFit="1" customWidth="1"/>
    <col min="10" max="10" width="11.85546875" style="1037" bestFit="1" customWidth="1"/>
    <col min="11" max="11" width="2.42578125" style="1037" customWidth="1"/>
    <col min="12" max="12" width="8.85546875" style="1037" bestFit="1" customWidth="1"/>
    <col min="13" max="13" width="1.7109375" style="1037" customWidth="1"/>
    <col min="14" max="14" width="2.42578125" style="1037" bestFit="1" customWidth="1"/>
    <col min="15" max="15" width="8.28515625" style="1037" customWidth="1"/>
    <col min="16" max="16" width="2.42578125" style="1037" bestFit="1" customWidth="1"/>
    <col min="17" max="17" width="5.42578125" style="1037" customWidth="1"/>
    <col min="18" max="18" width="14.140625" style="1037" customWidth="1"/>
    <col min="19" max="19" width="2.42578125" style="1037" bestFit="1" customWidth="1"/>
    <col min="20" max="20" width="9.28515625" style="1037" customWidth="1"/>
    <col min="21" max="21" width="2.42578125" style="1037" bestFit="1" customWidth="1"/>
    <col min="22" max="22" width="19.7109375" style="1037" bestFit="1" customWidth="1"/>
    <col min="23" max="23" width="6.28515625" style="1037" customWidth="1"/>
    <col min="24" max="24" width="10.42578125" style="1037" bestFit="1" customWidth="1"/>
    <col min="25" max="25" width="2.42578125" style="1037" hidden="1" customWidth="1"/>
    <col min="26" max="26" width="9.28515625" style="1037" bestFit="1" customWidth="1"/>
    <col min="27" max="27" width="7.7109375" style="1037" bestFit="1" customWidth="1"/>
    <col min="28" max="28" width="2.42578125" style="1037" bestFit="1" customWidth="1"/>
    <col min="29" max="29" width="16.42578125" style="1037" bestFit="1" customWidth="1"/>
    <col min="30" max="30" width="2.42578125" style="1037" bestFit="1" customWidth="1"/>
    <col min="31" max="31" width="10.42578125" style="1037" bestFit="1" customWidth="1"/>
    <col min="32" max="32" width="6.28515625" style="1037" bestFit="1" customWidth="1"/>
    <col min="33" max="33" width="1.42578125" style="1037" customWidth="1"/>
    <col min="34" max="34" width="6.28515625" style="1037" bestFit="1" customWidth="1"/>
    <col min="35" max="35" width="16.42578125" style="1037" bestFit="1" customWidth="1"/>
    <col min="36" max="36" width="2.42578125" style="1037" customWidth="1"/>
    <col min="37" max="37" width="9" style="1037" bestFit="1" customWidth="1"/>
    <col min="38" max="38" width="2.42578125" style="1037" bestFit="1" customWidth="1"/>
    <col min="39" max="39" width="7.85546875" style="1037" bestFit="1" customWidth="1"/>
    <col min="40" max="16384" width="9.140625" style="1037"/>
  </cols>
  <sheetData>
    <row r="1" spans="1:256" ht="18.75">
      <c r="A1" s="1067" t="s">
        <v>1485</v>
      </c>
      <c r="B1" s="1068"/>
    </row>
    <row r="2" spans="1:256">
      <c r="A2"/>
      <c r="B2"/>
      <c r="C2"/>
      <c r="D2"/>
      <c r="E2"/>
      <c r="F2"/>
      <c r="G2" s="1039"/>
      <c r="H2" s="1039"/>
      <c r="I2" s="1039"/>
      <c r="J2" s="1039"/>
      <c r="K2" s="1039"/>
      <c r="L2" s="1039"/>
      <c r="M2" s="1039"/>
      <c r="N2" s="1039"/>
      <c r="O2" s="1039"/>
      <c r="P2" s="1039"/>
      <c r="Q2" s="1039"/>
      <c r="R2" s="1039"/>
      <c r="S2" s="1039"/>
      <c r="T2" s="1039"/>
      <c r="U2" s="1039"/>
      <c r="V2" s="1039"/>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c r="A3" s="1040" t="s">
        <v>1401</v>
      </c>
      <c r="B3" s="1040"/>
      <c r="C3" s="1040"/>
      <c r="D3" s="1040" t="s">
        <v>1402</v>
      </c>
      <c r="E3" s="1059" t="str">
        <f>'Income Statement'!E3</f>
        <v>year X+2</v>
      </c>
      <c r="F3" s="1059"/>
      <c r="G3" s="1059" t="str">
        <f>'Income Statement'!D3</f>
        <v>year X+1</v>
      </c>
      <c r="H3" s="1059" t="str">
        <f>'Income Statement'!C3</f>
        <v>year X</v>
      </c>
      <c r="I3" s="1040" t="s">
        <v>1403</v>
      </c>
      <c r="J3" s="1040"/>
      <c r="K3" s="1040"/>
      <c r="L3" s="1040"/>
      <c r="M3" s="1040"/>
      <c r="N3" s="1040"/>
      <c r="O3" s="1040"/>
      <c r="P3" s="1040"/>
      <c r="Q3" s="1040"/>
      <c r="R3" s="1040"/>
      <c r="S3" s="1040"/>
      <c r="T3" s="1040" t="s">
        <v>1401</v>
      </c>
      <c r="U3" s="1040"/>
      <c r="V3" s="1040"/>
      <c r="W3" s="1040" t="s">
        <v>1402</v>
      </c>
      <c r="X3" s="1040" t="str">
        <f>E3</f>
        <v>year X+2</v>
      </c>
      <c r="Y3" s="1040">
        <f>F3</f>
        <v>0</v>
      </c>
      <c r="Z3" s="1040" t="str">
        <f>G3</f>
        <v>year X+1</v>
      </c>
      <c r="AA3" s="1040" t="str">
        <f>H3</f>
        <v>year X</v>
      </c>
      <c r="AB3" s="1040" t="s">
        <v>1403</v>
      </c>
      <c r="AC3" s="1040"/>
      <c r="AD3" s="1040"/>
      <c r="AE3" s="1040"/>
      <c r="AF3" s="1040"/>
      <c r="AG3" s="1040"/>
      <c r="AH3" s="1040"/>
      <c r="AI3" s="1040"/>
      <c r="AJ3" s="1040"/>
      <c r="AK3" s="1040"/>
      <c r="AL3" s="1040"/>
      <c r="AM3" s="1040"/>
    </row>
    <row r="4" spans="1:256">
      <c r="A4" s="1061" t="s">
        <v>1404</v>
      </c>
      <c r="B4" s="1061"/>
      <c r="C4" s="1061"/>
      <c r="D4" s="1062" t="s">
        <v>1405</v>
      </c>
      <c r="E4" s="1063">
        <f>'Income Statement'!E56</f>
        <v>452966</v>
      </c>
      <c r="F4" s="1062"/>
      <c r="G4" s="1063">
        <f>'Income Statement'!D56</f>
        <v>-1208.8500000000004</v>
      </c>
      <c r="H4" s="1063">
        <f>'Income Statement'!C56</f>
        <v>-64164</v>
      </c>
      <c r="I4" s="1041" t="s">
        <v>1406</v>
      </c>
      <c r="J4" s="1041"/>
      <c r="K4" s="1041"/>
      <c r="L4" s="1041"/>
      <c r="M4" s="1041"/>
      <c r="N4" s="1041"/>
      <c r="O4" s="1041"/>
      <c r="P4" s="1041"/>
      <c r="Q4" s="1041"/>
      <c r="R4" s="1041"/>
      <c r="S4" s="1041"/>
      <c r="T4" s="1037" t="s">
        <v>1407</v>
      </c>
      <c r="W4" s="1037" t="s">
        <v>1408</v>
      </c>
      <c r="X4" s="1042">
        <f>'Balance Sheet'!E20</f>
        <v>0</v>
      </c>
      <c r="Y4" s="1042"/>
      <c r="Z4" s="1042">
        <f>'Balance Sheet'!D20</f>
        <v>0</v>
      </c>
      <c r="AA4" s="1042">
        <f>'Balance Sheet'!C20</f>
        <v>0</v>
      </c>
      <c r="AB4" s="1043"/>
      <c r="AC4" s="1043"/>
      <c r="AD4" s="1043"/>
      <c r="AE4" s="1043"/>
      <c r="AF4" s="1043"/>
      <c r="AG4" s="1043"/>
      <c r="AH4" s="1043"/>
      <c r="AI4" s="1043"/>
      <c r="AJ4" s="1043"/>
      <c r="AK4" s="1043"/>
    </row>
    <row r="5" spans="1:256">
      <c r="A5" s="1062" t="s">
        <v>1409</v>
      </c>
      <c r="B5" s="1062"/>
      <c r="C5" s="1062"/>
      <c r="D5" s="1062" t="s">
        <v>1410</v>
      </c>
      <c r="E5" s="1063">
        <f>'Balance Sheet'!E53</f>
        <v>488376.15</v>
      </c>
      <c r="F5" s="1062"/>
      <c r="G5" s="1063">
        <f>+'Balance Sheet'!D53</f>
        <v>74627.149999999994</v>
      </c>
      <c r="H5" s="1063">
        <f>'Balance Sheet'!C53</f>
        <v>75836</v>
      </c>
      <c r="I5" s="1044" t="s">
        <v>1411</v>
      </c>
      <c r="J5" s="1044"/>
      <c r="K5" s="1044"/>
      <c r="L5" s="1044"/>
      <c r="M5" s="1044"/>
      <c r="N5" s="1044"/>
      <c r="O5" s="1044"/>
      <c r="P5" s="1044"/>
      <c r="Q5" s="1044"/>
      <c r="R5" s="1044"/>
      <c r="S5" s="1044"/>
      <c r="T5" s="1037" t="s">
        <v>1412</v>
      </c>
      <c r="W5" s="1037" t="s">
        <v>1413</v>
      </c>
      <c r="X5" s="1042">
        <f>'Balance Sheet'!E62</f>
        <v>123326.50222864126</v>
      </c>
      <c r="Z5" s="1042">
        <f>'Balance Sheet'!D62</f>
        <v>162523.59201019825</v>
      </c>
      <c r="AA5" s="1042">
        <f>'Balance Sheet'!C62</f>
        <v>200802</v>
      </c>
      <c r="AB5" s="1043"/>
      <c r="AC5" s="1043"/>
      <c r="AD5" s="1043"/>
      <c r="AE5" s="1043"/>
      <c r="AF5" s="1043"/>
      <c r="AG5" s="1043"/>
      <c r="AH5" s="1043"/>
      <c r="AI5" s="1043"/>
      <c r="AJ5" s="1043"/>
      <c r="AK5" s="1043"/>
    </row>
    <row r="6" spans="1:256">
      <c r="A6" s="1062" t="s">
        <v>1414</v>
      </c>
      <c r="B6" s="1062"/>
      <c r="C6" s="1062"/>
      <c r="D6" s="1062" t="s">
        <v>1415</v>
      </c>
      <c r="E6" s="1063">
        <f>'Income Statement'!E5</f>
        <v>1220214</v>
      </c>
      <c r="F6" s="1062"/>
      <c r="G6" s="1063">
        <f>'Income Statement'!D5</f>
        <v>269163</v>
      </c>
      <c r="H6" s="1063">
        <f>'Income Statement'!C5</f>
        <v>44825</v>
      </c>
      <c r="I6" s="1044" t="s">
        <v>1406</v>
      </c>
      <c r="J6" s="1044"/>
      <c r="K6" s="1044"/>
      <c r="L6" s="1044"/>
      <c r="M6" s="1044"/>
      <c r="N6" s="1044"/>
      <c r="O6" s="1044"/>
      <c r="P6" s="1044"/>
      <c r="Q6" s="1044"/>
      <c r="R6" s="1044"/>
      <c r="S6" s="1044"/>
      <c r="T6" s="1037" t="s">
        <v>1416</v>
      </c>
      <c r="W6" s="1037" t="s">
        <v>1417</v>
      </c>
      <c r="X6" s="1042">
        <f>'Balance Sheet'!E53</f>
        <v>488376.15</v>
      </c>
      <c r="Z6" s="1042">
        <f>'Balance Sheet'!D53</f>
        <v>74627.149999999994</v>
      </c>
      <c r="AA6" s="1042">
        <f>'Balance Sheet'!C53</f>
        <v>75836</v>
      </c>
      <c r="AB6" s="1043"/>
      <c r="AC6" s="1043"/>
      <c r="AD6" s="1043"/>
      <c r="AE6" s="1043"/>
      <c r="AF6" s="1043"/>
      <c r="AG6" s="1043"/>
      <c r="AH6" s="1043"/>
      <c r="AI6" s="1043"/>
      <c r="AJ6" s="1043"/>
      <c r="AK6" s="1043"/>
    </row>
    <row r="7" spans="1:256">
      <c r="A7" s="1062" t="s">
        <v>1418</v>
      </c>
      <c r="B7" s="1062"/>
      <c r="C7" s="1062"/>
      <c r="D7" s="1062" t="s">
        <v>1419</v>
      </c>
      <c r="E7" s="1063">
        <f>'Balance Sheet'!E39-'Balance Sheet'!E34</f>
        <v>12406</v>
      </c>
      <c r="F7" s="1062"/>
      <c r="G7" s="1063">
        <f>'Balance Sheet'!D39-'Balance Sheet'!D34</f>
        <v>24165.999999999993</v>
      </c>
      <c r="H7" s="1063">
        <f>'Balance Sheet'!C39-'Balance Sheet'!C34</f>
        <v>57277</v>
      </c>
      <c r="I7" s="1043" t="s">
        <v>1420</v>
      </c>
      <c r="J7" s="1043"/>
      <c r="K7" s="1043"/>
      <c r="L7" s="1043"/>
      <c r="M7" s="1043"/>
      <c r="N7" s="1043"/>
      <c r="O7" s="1043"/>
      <c r="P7" s="1043"/>
      <c r="Q7" s="1043"/>
      <c r="R7" s="1043"/>
      <c r="S7" s="1043"/>
      <c r="T7" s="1037" t="s">
        <v>1421</v>
      </c>
      <c r="W7" s="1037" t="s">
        <v>1422</v>
      </c>
      <c r="X7" s="1042">
        <f>-'Income Statement'!E48</f>
        <v>7904</v>
      </c>
      <c r="Z7" s="1042">
        <f>-'Income Statement'!D48</f>
        <v>10767.85</v>
      </c>
      <c r="AA7" s="1042">
        <f>-'Income Statement'!C48</f>
        <v>11124</v>
      </c>
      <c r="AF7" s="1045"/>
      <c r="AG7" s="1045"/>
      <c r="AH7" s="1045"/>
      <c r="AI7" s="1045"/>
      <c r="AK7" s="1046"/>
    </row>
    <row r="8" spans="1:256">
      <c r="A8" s="1062" t="s">
        <v>1423</v>
      </c>
      <c r="B8" s="1062"/>
      <c r="C8" s="1062"/>
      <c r="D8" s="1062" t="s">
        <v>1424</v>
      </c>
      <c r="E8" s="1063">
        <f>+'Balance Sheet'!E66-'Balance Sheet'!E62</f>
        <v>59297.999999999985</v>
      </c>
      <c r="F8" s="1062"/>
      <c r="G8" s="1063">
        <f>+'Balance Sheet'!D66-'Balance Sheet'!D62</f>
        <v>1711</v>
      </c>
      <c r="H8" s="1063">
        <f>+'Balance Sheet'!C66-'Balance Sheet'!C62</f>
        <v>282</v>
      </c>
      <c r="I8" s="1043" t="s">
        <v>1420</v>
      </c>
      <c r="J8" s="1043"/>
      <c r="K8" s="1043"/>
      <c r="L8" s="1043"/>
      <c r="M8" s="1043"/>
      <c r="N8" s="1043"/>
      <c r="O8" s="1043"/>
      <c r="P8" s="1043"/>
      <c r="Q8" s="1043"/>
      <c r="R8" s="1043"/>
      <c r="S8" s="1043"/>
      <c r="T8" s="1037" t="s">
        <v>1425</v>
      </c>
      <c r="W8" s="1037" t="s">
        <v>1426</v>
      </c>
      <c r="X8" s="1042">
        <f>-'Income Statement'!E14</f>
        <v>115608</v>
      </c>
      <c r="Y8" s="1042">
        <f>F6-F10</f>
        <v>0</v>
      </c>
      <c r="Z8" s="1042">
        <f>G6-G10</f>
        <v>210604</v>
      </c>
      <c r="AA8" s="1042">
        <f>H6-H10</f>
        <v>73365</v>
      </c>
    </row>
    <row r="9" spans="1:256">
      <c r="A9" s="1062" t="s">
        <v>1427</v>
      </c>
      <c r="B9" s="1062"/>
      <c r="C9" s="1062"/>
      <c r="D9" s="1062" t="s">
        <v>1428</v>
      </c>
      <c r="E9" s="1063">
        <f>'Income Statement'!E60</f>
        <v>413749</v>
      </c>
      <c r="F9" s="1062"/>
      <c r="G9" s="1063">
        <f>'Income Statement'!D60</f>
        <v>-1208.8500000000004</v>
      </c>
      <c r="H9" s="1063">
        <f>'Income Statement'!C60</f>
        <v>-64164</v>
      </c>
      <c r="I9" s="1043" t="s">
        <v>1406</v>
      </c>
      <c r="J9" s="1043"/>
      <c r="K9" s="1043"/>
      <c r="L9" s="1043"/>
      <c r="M9" s="1043"/>
      <c r="N9" s="1043"/>
      <c r="O9" s="1043"/>
      <c r="P9" s="1043"/>
      <c r="Q9" s="1043"/>
      <c r="R9" s="1043"/>
      <c r="S9" s="1043"/>
      <c r="T9" s="1037" t="s">
        <v>1429</v>
      </c>
      <c r="W9" s="1037" t="s">
        <v>1430</v>
      </c>
      <c r="X9" s="1042">
        <f>'Balance Sheet'!E23+'Balance Sheet'!E25+'Balance Sheet'!E26+'Balance Sheet'!E28</f>
        <v>12406</v>
      </c>
      <c r="Z9" s="1042">
        <f>'Balance Sheet'!D23+'Balance Sheet'!D25+'Balance Sheet'!D26+'Balance Sheet'!D27</f>
        <v>2736</v>
      </c>
      <c r="AA9" s="1042">
        <f>'Balance Sheet'!C23+'Balance Sheet'!C25+'Balance Sheet'!C26+'Balance Sheet'!C27</f>
        <v>456</v>
      </c>
    </row>
    <row r="10" spans="1:256">
      <c r="A10" s="1062" t="s">
        <v>1431</v>
      </c>
      <c r="B10" s="1062"/>
      <c r="C10" s="1062"/>
      <c r="D10" s="1062" t="s">
        <v>1432</v>
      </c>
      <c r="E10" s="1063">
        <f>'Income Statement'!E25</f>
        <v>538870</v>
      </c>
      <c r="F10" s="1062"/>
      <c r="G10" s="1063">
        <f>'Income Statement'!D25</f>
        <v>58559</v>
      </c>
      <c r="H10" s="1063">
        <f>'Income Statement'!C25</f>
        <v>-28540</v>
      </c>
      <c r="I10" s="1037" t="s">
        <v>1433</v>
      </c>
      <c r="T10" s="1037" t="s">
        <v>1434</v>
      </c>
      <c r="W10" s="1037" t="s">
        <v>1435</v>
      </c>
      <c r="X10" s="1042">
        <f>'Balance Sheet'!E63</f>
        <v>7600</v>
      </c>
      <c r="Z10" s="1042">
        <f>'Balance Sheet'!D63</f>
        <v>1711</v>
      </c>
      <c r="AA10" s="1042">
        <f>'Balance Sheet'!C63</f>
        <v>282</v>
      </c>
    </row>
    <row r="11" spans="1:256">
      <c r="A11" s="1062" t="s">
        <v>1436</v>
      </c>
      <c r="B11" s="1062"/>
      <c r="C11" s="1062"/>
      <c r="D11" s="1062" t="s">
        <v>1437</v>
      </c>
      <c r="E11" s="1063">
        <f>E6-E10</f>
        <v>681344</v>
      </c>
      <c r="F11" s="1063">
        <f>F6-F10</f>
        <v>0</v>
      </c>
      <c r="G11" s="1063">
        <f>G6-G10</f>
        <v>210604</v>
      </c>
      <c r="H11" s="1063">
        <f>H6-H10</f>
        <v>73365</v>
      </c>
      <c r="T11" s="1037" t="s">
        <v>1438</v>
      </c>
      <c r="W11" s="1037" t="s">
        <v>1439</v>
      </c>
      <c r="X11" s="1042">
        <f>X8</f>
        <v>115608</v>
      </c>
      <c r="Y11" s="1042">
        <f>Y8</f>
        <v>0</v>
      </c>
      <c r="Z11" s="1042">
        <f>Z8</f>
        <v>210604</v>
      </c>
      <c r="AA11" s="1042">
        <f>AA8</f>
        <v>73365</v>
      </c>
    </row>
    <row r="12" spans="1:256">
      <c r="A12" s="1062" t="s">
        <v>1440</v>
      </c>
      <c r="B12" s="1062"/>
      <c r="C12" s="1062"/>
      <c r="D12" s="1062" t="s">
        <v>1441</v>
      </c>
      <c r="E12" s="1064">
        <f>'Balance Sheet'!E41-'Balance Sheet'!E56-'Balance Sheet'!E59</f>
        <v>671000.50080000004</v>
      </c>
      <c r="F12" s="1062"/>
      <c r="G12" s="1063">
        <f>'Balance Sheet'!D41-'Balance Sheet'!D56-'Balance Sheet'!D59</f>
        <v>238861.75039999999</v>
      </c>
      <c r="H12" s="1063">
        <f>'Balance Sheet'!C41-'Balance Sheet'!C56-'Balance Sheet'!C59</f>
        <v>276920</v>
      </c>
      <c r="I12" s="1043" t="s">
        <v>1420</v>
      </c>
      <c r="T12" s="1037" t="s">
        <v>1442</v>
      </c>
      <c r="W12" s="1037" t="s">
        <v>1443</v>
      </c>
      <c r="X12" s="1042">
        <f>'Other input data'!E15</f>
        <v>0</v>
      </c>
      <c r="Z12" s="1042">
        <f>'Other input data'!D15</f>
        <v>0</v>
      </c>
      <c r="AA12" s="1042">
        <f>'Other input data'!C15</f>
        <v>0</v>
      </c>
    </row>
    <row r="13" spans="1:256">
      <c r="A13" s="1062" t="s">
        <v>1444</v>
      </c>
      <c r="B13" s="1062"/>
      <c r="C13" s="1062"/>
      <c r="D13" s="1062" t="s">
        <v>1445</v>
      </c>
      <c r="E13" s="1063">
        <f>'Balance Sheet'!E16</f>
        <v>241169</v>
      </c>
      <c r="F13" s="1062"/>
      <c r="G13" s="1063">
        <f>'Balance Sheet'!D16</f>
        <v>171921</v>
      </c>
      <c r="H13" s="1063">
        <f>'Balance Sheet'!C16</f>
        <v>220569</v>
      </c>
      <c r="I13" s="1043" t="s">
        <v>1420</v>
      </c>
      <c r="J13" s="1043"/>
      <c r="K13" s="1043"/>
      <c r="L13" s="1043"/>
      <c r="M13" s="1043"/>
      <c r="N13" s="1043"/>
      <c r="O13" s="1043"/>
      <c r="P13" s="1043"/>
      <c r="Q13" s="1043"/>
      <c r="R13" s="1043"/>
      <c r="S13" s="1043"/>
      <c r="T13" s="1037" t="s">
        <v>1446</v>
      </c>
      <c r="W13" s="1037" t="s">
        <v>1447</v>
      </c>
      <c r="X13" s="1042">
        <f>+'Other input data'!E13</f>
        <v>1000</v>
      </c>
      <c r="Z13" s="1060">
        <f>'Other input data'!D13</f>
        <v>1000</v>
      </c>
      <c r="AA13" s="1060">
        <f>'Other input data'!C13</f>
        <v>1000</v>
      </c>
    </row>
    <row r="14" spans="1:256">
      <c r="A14" s="1062" t="s">
        <v>1448</v>
      </c>
      <c r="B14" s="1062"/>
      <c r="C14" s="1062"/>
      <c r="D14" s="1062" t="s">
        <v>1449</v>
      </c>
      <c r="E14" s="1063">
        <f>E7-E8</f>
        <v>-46891.999999999985</v>
      </c>
      <c r="F14" s="1063">
        <f>F7-F8</f>
        <v>0</v>
      </c>
      <c r="G14" s="1063">
        <f>G7-G8</f>
        <v>22454.999999999993</v>
      </c>
      <c r="H14" s="1063">
        <f>H7-H8</f>
        <v>56995</v>
      </c>
      <c r="I14" s="1037" t="s">
        <v>1450</v>
      </c>
      <c r="T14" s="1037" t="s">
        <v>1451</v>
      </c>
      <c r="W14" s="1037" t="s">
        <v>1452</v>
      </c>
      <c r="X14" s="1047">
        <f>'Other input data'!D14</f>
        <v>300</v>
      </c>
      <c r="Z14" s="1047">
        <f>'Other input data'!D14</f>
        <v>300</v>
      </c>
      <c r="AA14" s="1047">
        <f>'Other input data'!C14</f>
        <v>300</v>
      </c>
      <c r="AB14" s="1047"/>
    </row>
    <row r="15" spans="1:256">
      <c r="A15" s="1065" t="s">
        <v>725</v>
      </c>
      <c r="B15" s="1062"/>
      <c r="C15" s="1062"/>
      <c r="D15" s="1062"/>
      <c r="E15" s="1063">
        <f>'Income Statement'!E25</f>
        <v>538870</v>
      </c>
      <c r="F15" s="1062"/>
      <c r="G15" s="1063">
        <f>'Income Statement'!D25</f>
        <v>58559</v>
      </c>
      <c r="H15" s="1063">
        <f>'Income Statement'!C25</f>
        <v>-28540</v>
      </c>
      <c r="S15" s="1043"/>
      <c r="T15" s="1043"/>
      <c r="U15" s="1043"/>
      <c r="V15" s="1043"/>
      <c r="W15" s="1043"/>
      <c r="X15" s="1048">
        <f>X4/E6</f>
        <v>0</v>
      </c>
      <c r="Y15" s="1049" t="e">
        <f>Y4/F6</f>
        <v>#DIV/0!</v>
      </c>
      <c r="Z15" s="1048">
        <f>Z4/G6</f>
        <v>0</v>
      </c>
      <c r="AA15" s="1048">
        <f>AA4/H6</f>
        <v>0</v>
      </c>
      <c r="AB15" s="1043"/>
    </row>
    <row r="16" spans="1:256">
      <c r="A16" s="1065" t="s">
        <v>1453</v>
      </c>
      <c r="B16" s="1062"/>
      <c r="C16" s="1062"/>
      <c r="D16" s="1062"/>
      <c r="E16" s="1066">
        <f>E15/E6</f>
        <v>0.44161925695001042</v>
      </c>
      <c r="F16" s="1066" t="e">
        <f>F15/F6</f>
        <v>#DIV/0!</v>
      </c>
      <c r="G16" s="1066">
        <f>G15/G6</f>
        <v>0.21755962000720752</v>
      </c>
      <c r="H16" s="1063"/>
      <c r="X16" s="1045">
        <f>X10/E6</f>
        <v>6.2284156713494519E-3</v>
      </c>
      <c r="Y16" s="1045" t="e">
        <f>Y10/F6</f>
        <v>#DIV/0!</v>
      </c>
      <c r="Z16" s="1045">
        <f>Z10/G6</f>
        <v>6.3567429401515064E-3</v>
      </c>
      <c r="AA16" s="1045">
        <f>AA10/H6</f>
        <v>6.2911321807027328E-3</v>
      </c>
    </row>
    <row r="17" spans="2:37" s="1038" customFormat="1">
      <c r="E17" s="1050"/>
      <c r="F17" s="1050"/>
      <c r="G17" s="1050"/>
      <c r="H17" s="1051"/>
      <c r="X17" s="1050"/>
      <c r="Y17" s="1050"/>
      <c r="Z17" s="1050"/>
      <c r="AA17" s="1050"/>
    </row>
    <row r="18" spans="2:37" s="1038" customFormat="1">
      <c r="E18" s="1052"/>
      <c r="M18" s="1333" t="s">
        <v>1454</v>
      </c>
      <c r="N18" s="1334"/>
      <c r="O18" s="1334"/>
      <c r="P18" s="1335"/>
      <c r="Q18" s="1339" t="s">
        <v>395</v>
      </c>
      <c r="R18" s="1069" t="s">
        <v>1405</v>
      </c>
      <c r="S18" s="1071"/>
      <c r="T18" s="1071"/>
      <c r="V18" s="1340"/>
      <c r="W18" s="1340"/>
      <c r="X18" s="1340"/>
      <c r="Y18" s="1340"/>
      <c r="Z18" s="1341"/>
      <c r="AA18" s="5"/>
      <c r="AB18" s="1053"/>
      <c r="AC18" s="1054"/>
    </row>
    <row r="19" spans="2:37" s="1038" customFormat="1">
      <c r="M19" s="1336"/>
      <c r="N19" s="1337"/>
      <c r="O19" s="1337"/>
      <c r="P19" s="1338"/>
      <c r="Q19" s="1339"/>
      <c r="R19" s="1072" t="s">
        <v>1410</v>
      </c>
      <c r="S19" s="1071"/>
      <c r="T19" s="1071"/>
      <c r="V19" s="1340"/>
      <c r="W19" s="1340"/>
      <c r="X19" s="1340"/>
      <c r="Y19" s="1340"/>
      <c r="Z19" s="1341"/>
      <c r="AA19" s="5"/>
      <c r="AB19" s="1053"/>
      <c r="AC19" s="1054"/>
    </row>
    <row r="20" spans="2:37" s="1038" customFormat="1">
      <c r="M20" s="1342" t="s">
        <v>1486</v>
      </c>
      <c r="N20" s="1342"/>
      <c r="O20" s="1342"/>
      <c r="P20" s="1342"/>
      <c r="Q20" s="1343" t="s">
        <v>395</v>
      </c>
      <c r="R20" s="1078">
        <f>E4</f>
        <v>452966</v>
      </c>
      <c r="S20" s="1343" t="s">
        <v>395</v>
      </c>
      <c r="T20" s="1344">
        <f>R20/R21</f>
        <v>0.9274941046977826</v>
      </c>
      <c r="V20" s="1340"/>
      <c r="W20" s="1340"/>
      <c r="X20" s="1340"/>
      <c r="Y20" s="1340"/>
      <c r="Z20" s="1341"/>
      <c r="AA20" s="5"/>
      <c r="AB20" s="1056"/>
      <c r="AC20" s="1341"/>
      <c r="AD20" s="1345"/>
    </row>
    <row r="21" spans="2:37" s="1038" customFormat="1">
      <c r="M21" s="1342"/>
      <c r="N21" s="1342"/>
      <c r="O21" s="1342"/>
      <c r="P21" s="1342"/>
      <c r="Q21" s="1343"/>
      <c r="R21" s="1079">
        <f>E5</f>
        <v>488376.15</v>
      </c>
      <c r="S21" s="1343"/>
      <c r="T21" s="1344"/>
      <c r="V21" s="1340"/>
      <c r="W21" s="1340"/>
      <c r="X21" s="1340"/>
      <c r="Y21" s="1340"/>
      <c r="Z21" s="1341"/>
      <c r="AA21" s="5"/>
      <c r="AB21" s="1056"/>
      <c r="AC21" s="1341"/>
      <c r="AD21" s="1345"/>
    </row>
    <row r="22" spans="2:37" s="1038" customFormat="1">
      <c r="M22" s="1342" t="s">
        <v>1487</v>
      </c>
      <c r="N22" s="1342"/>
      <c r="O22" s="1342"/>
      <c r="P22" s="1342"/>
      <c r="Q22" s="1343" t="s">
        <v>395</v>
      </c>
      <c r="R22" s="1078">
        <f>G4</f>
        <v>-1208.8500000000004</v>
      </c>
      <c r="S22" s="1343" t="s">
        <v>395</v>
      </c>
      <c r="T22" s="1344">
        <f>R22/R23</f>
        <v>-1.6198528283607246E-2</v>
      </c>
      <c r="V22" s="1340"/>
      <c r="W22" s="1340"/>
      <c r="X22" s="1340"/>
      <c r="Y22" s="1340"/>
      <c r="Z22" s="1341"/>
      <c r="AA22" s="5"/>
      <c r="AB22" s="1056"/>
      <c r="AC22" s="1341"/>
      <c r="AD22" s="1345"/>
    </row>
    <row r="23" spans="2:37" s="1038" customFormat="1">
      <c r="M23" s="1342"/>
      <c r="N23" s="1342"/>
      <c r="O23" s="1342"/>
      <c r="P23" s="1342"/>
      <c r="Q23" s="1343"/>
      <c r="R23" s="1079">
        <f>G5</f>
        <v>74627.149999999994</v>
      </c>
      <c r="S23" s="1343"/>
      <c r="T23" s="1344"/>
      <c r="V23" s="1340"/>
      <c r="W23" s="1340"/>
      <c r="X23" s="1340"/>
      <c r="Y23" s="1340"/>
      <c r="Z23" s="1341"/>
      <c r="AA23" s="5"/>
      <c r="AB23" s="1056"/>
      <c r="AC23" s="1341"/>
      <c r="AD23" s="1345"/>
    </row>
    <row r="24" spans="2:37" s="1038" customFormat="1">
      <c r="M24" s="1342" t="s">
        <v>1488</v>
      </c>
      <c r="N24" s="1342"/>
      <c r="O24" s="1342"/>
      <c r="P24" s="1342"/>
      <c r="Q24" s="1343" t="s">
        <v>395</v>
      </c>
      <c r="R24" s="1078">
        <f>H4</f>
        <v>-64164</v>
      </c>
      <c r="S24" s="1343" t="s">
        <v>395</v>
      </c>
      <c r="T24" s="1344">
        <f>R24/R25</f>
        <v>-0.84608892874096731</v>
      </c>
      <c r="V24" s="6"/>
      <c r="W24" s="6"/>
      <c r="X24" s="6"/>
      <c r="Y24" s="6"/>
      <c r="Z24" s="5"/>
      <c r="AA24" s="5"/>
      <c r="AB24" s="1056"/>
      <c r="AC24" s="5"/>
      <c r="AD24" s="3"/>
    </row>
    <row r="25" spans="2:37" s="1038" customFormat="1">
      <c r="M25" s="1342"/>
      <c r="N25" s="1342"/>
      <c r="O25" s="1342"/>
      <c r="P25" s="1342"/>
      <c r="Q25" s="1343"/>
      <c r="R25" s="1079">
        <f>H5</f>
        <v>75836</v>
      </c>
      <c r="S25" s="1343"/>
      <c r="T25" s="1344"/>
      <c r="V25" s="6"/>
      <c r="W25" s="6"/>
      <c r="X25" s="6"/>
      <c r="Y25" s="6"/>
      <c r="Z25" s="5"/>
      <c r="AA25" s="5"/>
      <c r="AB25" s="1056"/>
      <c r="AC25" s="5"/>
      <c r="AD25" s="3"/>
    </row>
    <row r="26" spans="2:37" s="1038" customFormat="1">
      <c r="M26" s="2"/>
      <c r="N26" s="2"/>
      <c r="O26" s="2"/>
      <c r="P26" s="2"/>
      <c r="Q26" s="1"/>
      <c r="R26" s="1057"/>
      <c r="S26" s="1"/>
      <c r="T26" s="3"/>
      <c r="V26" s="6"/>
      <c r="W26" s="6"/>
      <c r="X26" s="6"/>
      <c r="Y26" s="6"/>
      <c r="Z26" s="5"/>
      <c r="AA26" s="5"/>
      <c r="AB26" s="1056"/>
      <c r="AC26" s="5"/>
      <c r="AD26" s="3"/>
    </row>
    <row r="27" spans="2:37" s="1038" customFormat="1">
      <c r="M27" s="1"/>
      <c r="N27" s="1"/>
      <c r="O27" s="1057"/>
      <c r="P27" s="1057"/>
      <c r="Q27" s="1057"/>
      <c r="R27" s="1057"/>
      <c r="S27" s="1057"/>
      <c r="T27" s="1057"/>
      <c r="U27" s="1"/>
    </row>
    <row r="28" spans="2:37" s="1038" customFormat="1"/>
    <row r="29" spans="2:37" s="1038" customFormat="1">
      <c r="B29" s="1346"/>
      <c r="C29" s="1346"/>
      <c r="D29" s="1346"/>
      <c r="E29" s="1348" t="s">
        <v>1455</v>
      </c>
      <c r="F29" s="1339" t="s">
        <v>395</v>
      </c>
      <c r="G29" s="1069" t="s">
        <v>1405</v>
      </c>
      <c r="H29" s="1070"/>
      <c r="I29" s="1071"/>
      <c r="J29" s="1071"/>
      <c r="X29" s="1333" t="s">
        <v>1456</v>
      </c>
      <c r="Y29" s="1334"/>
      <c r="Z29" s="1335"/>
      <c r="AA29" s="1073"/>
      <c r="AB29" s="1339" t="s">
        <v>395</v>
      </c>
      <c r="AC29" s="1069" t="s">
        <v>1415</v>
      </c>
      <c r="AD29" s="1071"/>
      <c r="AE29" s="1071"/>
      <c r="AI29" s="1053"/>
    </row>
    <row r="30" spans="2:37" s="1038" customFormat="1">
      <c r="B30" s="1346"/>
      <c r="C30" s="1346"/>
      <c r="D30" s="1346"/>
      <c r="E30" s="1349"/>
      <c r="F30" s="1339"/>
      <c r="G30" s="1072" t="s">
        <v>1415</v>
      </c>
      <c r="H30" s="1072"/>
      <c r="I30" s="1071"/>
      <c r="J30" s="1071"/>
      <c r="X30" s="1336"/>
      <c r="Y30" s="1337"/>
      <c r="Z30" s="1338"/>
      <c r="AA30" s="1073"/>
      <c r="AB30" s="1339"/>
      <c r="AC30" s="1072" t="s">
        <v>1410</v>
      </c>
      <c r="AD30" s="1071"/>
      <c r="AE30" s="1071"/>
      <c r="AI30" s="1053"/>
    </row>
    <row r="31" spans="2:37" s="1038" customFormat="1">
      <c r="B31" s="1346"/>
      <c r="C31" s="1346"/>
      <c r="D31" s="1346"/>
      <c r="E31" s="1346" t="str">
        <f>M20</f>
        <v>For year x+2</v>
      </c>
      <c r="F31" s="1347" t="s">
        <v>395</v>
      </c>
      <c r="G31" s="1055">
        <f>E4</f>
        <v>452966</v>
      </c>
      <c r="H31" s="1056"/>
      <c r="I31" s="1347" t="s">
        <v>395</v>
      </c>
      <c r="J31" s="1345">
        <f>G31/G32</f>
        <v>0.37121849118269418</v>
      </c>
      <c r="X31" s="1343" t="str">
        <f>M20</f>
        <v>For year x+2</v>
      </c>
      <c r="Y31" s="1343"/>
      <c r="Z31" s="1343"/>
      <c r="AA31" s="4"/>
      <c r="AB31" s="1343" t="s">
        <v>395</v>
      </c>
      <c r="AC31" s="1078">
        <f>E6</f>
        <v>1220214</v>
      </c>
      <c r="AD31" s="1343" t="s">
        <v>395</v>
      </c>
      <c r="AE31" s="1350">
        <f>AC31/AC32</f>
        <v>2.4985126730697229</v>
      </c>
      <c r="AI31" s="1056"/>
      <c r="AJ31" s="1347"/>
      <c r="AK31" s="1351"/>
    </row>
    <row r="32" spans="2:37" s="1038" customFormat="1">
      <c r="B32" s="1346"/>
      <c r="C32" s="1346"/>
      <c r="D32" s="1346"/>
      <c r="E32" s="1346"/>
      <c r="F32" s="1347"/>
      <c r="G32" s="1057">
        <f>E6</f>
        <v>1220214</v>
      </c>
      <c r="H32" s="1057"/>
      <c r="I32" s="1347"/>
      <c r="J32" s="1345"/>
      <c r="X32" s="1343"/>
      <c r="Y32" s="1343"/>
      <c r="Z32" s="1343"/>
      <c r="AA32" s="4"/>
      <c r="AB32" s="1343"/>
      <c r="AC32" s="1079">
        <f>E5</f>
        <v>488376.15</v>
      </c>
      <c r="AD32" s="1343"/>
      <c r="AE32" s="1350"/>
      <c r="AI32" s="1056"/>
      <c r="AJ32" s="1347"/>
      <c r="AK32" s="1351"/>
    </row>
    <row r="33" spans="1:39" s="1038" customFormat="1">
      <c r="B33" s="1346"/>
      <c r="C33" s="1346"/>
      <c r="D33" s="1346"/>
      <c r="E33" s="1346" t="str">
        <f>M22</f>
        <v>For year X+1</v>
      </c>
      <c r="F33" s="1347" t="s">
        <v>395</v>
      </c>
      <c r="G33" s="1055">
        <f>G4</f>
        <v>-1208.8500000000004</v>
      </c>
      <c r="H33" s="1056"/>
      <c r="I33" s="1347" t="s">
        <v>395</v>
      </c>
      <c r="J33" s="1345">
        <f>G33/G34</f>
        <v>-4.4911447710123615E-3</v>
      </c>
      <c r="X33" s="1343" t="str">
        <f>M22</f>
        <v>For year X+1</v>
      </c>
      <c r="Y33" s="1343"/>
      <c r="Z33" s="1343"/>
      <c r="AA33" s="4"/>
      <c r="AB33" s="1343" t="s">
        <v>395</v>
      </c>
      <c r="AC33" s="1078">
        <f>G6</f>
        <v>269163</v>
      </c>
      <c r="AD33" s="1343" t="s">
        <v>395</v>
      </c>
      <c r="AE33" s="1350">
        <f>AC33/AC34</f>
        <v>3.6067704582045543</v>
      </c>
      <c r="AI33" s="1056"/>
      <c r="AJ33" s="1347"/>
      <c r="AK33" s="1351"/>
    </row>
    <row r="34" spans="1:39" s="1038" customFormat="1">
      <c r="B34" s="1346"/>
      <c r="C34" s="1346"/>
      <c r="D34" s="1346"/>
      <c r="E34" s="1346"/>
      <c r="F34" s="1347"/>
      <c r="G34" s="1057">
        <f>G6</f>
        <v>269163</v>
      </c>
      <c r="H34" s="1057"/>
      <c r="I34" s="1347"/>
      <c r="J34" s="1345"/>
      <c r="X34" s="1343"/>
      <c r="Y34" s="1343"/>
      <c r="Z34" s="1343"/>
      <c r="AA34" s="4"/>
      <c r="AB34" s="1343"/>
      <c r="AC34" s="1079">
        <f>G5</f>
        <v>74627.149999999994</v>
      </c>
      <c r="AD34" s="1343"/>
      <c r="AE34" s="1350"/>
      <c r="AI34" s="1056"/>
      <c r="AJ34" s="1347"/>
      <c r="AK34" s="1351"/>
    </row>
    <row r="35" spans="1:39" s="1038" customFormat="1">
      <c r="B35" s="2"/>
      <c r="C35" s="2"/>
      <c r="D35" s="2"/>
      <c r="E35" s="1346" t="str">
        <f>M24</f>
        <v>For year X</v>
      </c>
      <c r="F35" s="1347" t="s">
        <v>395</v>
      </c>
      <c r="G35" s="1055">
        <f>H4</f>
        <v>-64164</v>
      </c>
      <c r="H35" s="1056"/>
      <c r="I35" s="1347" t="s">
        <v>395</v>
      </c>
      <c r="J35" s="1345">
        <f>G35/G36</f>
        <v>-1.4314333519241496</v>
      </c>
      <c r="X35" s="1343" t="str">
        <f>M24</f>
        <v>For year X</v>
      </c>
      <c r="Y35" s="1343"/>
      <c r="Z35" s="1343"/>
      <c r="AA35" s="4"/>
      <c r="AB35" s="1343" t="s">
        <v>395</v>
      </c>
      <c r="AC35" s="1078">
        <f>H6</f>
        <v>44825</v>
      </c>
      <c r="AD35" s="1343" t="s">
        <v>395</v>
      </c>
      <c r="AE35" s="1350">
        <f>AC35/AC36</f>
        <v>0.59107811593438475</v>
      </c>
      <c r="AI35" s="1056"/>
      <c r="AJ35" s="1"/>
      <c r="AK35" s="1058"/>
    </row>
    <row r="36" spans="1:39" s="1038" customFormat="1">
      <c r="B36" s="2"/>
      <c r="C36" s="2"/>
      <c r="D36" s="2"/>
      <c r="E36" s="1346"/>
      <c r="F36" s="1347"/>
      <c r="G36" s="1057">
        <f>H6</f>
        <v>44825</v>
      </c>
      <c r="H36" s="1057"/>
      <c r="I36" s="1347"/>
      <c r="J36" s="1345"/>
      <c r="X36" s="1343"/>
      <c r="Y36" s="1343"/>
      <c r="Z36" s="1343"/>
      <c r="AA36" s="4"/>
      <c r="AB36" s="1343"/>
      <c r="AC36" s="1079">
        <f>H5</f>
        <v>75836</v>
      </c>
      <c r="AD36" s="1343"/>
      <c r="AE36" s="1350"/>
      <c r="AI36" s="1056"/>
      <c r="AJ36" s="1"/>
      <c r="AK36" s="1058"/>
    </row>
    <row r="37" spans="1:39" s="1038" customFormat="1">
      <c r="B37" s="2"/>
      <c r="C37" s="2"/>
      <c r="D37" s="2"/>
      <c r="E37" s="2"/>
      <c r="F37" s="1"/>
      <c r="G37" s="1057"/>
      <c r="H37" s="1057"/>
      <c r="I37" s="1"/>
      <c r="J37" s="3"/>
      <c r="X37" s="1"/>
      <c r="Y37" s="1"/>
      <c r="Z37" s="1"/>
      <c r="AA37" s="1"/>
      <c r="AB37" s="1"/>
      <c r="AC37" s="1057"/>
      <c r="AD37" s="1"/>
      <c r="AE37" s="1058"/>
      <c r="AI37" s="1056"/>
      <c r="AJ37" s="1"/>
      <c r="AK37" s="1058"/>
    </row>
    <row r="38" spans="1:39" s="1038" customFormat="1">
      <c r="A38" s="1074"/>
      <c r="B38" s="1074"/>
      <c r="C38" s="1074"/>
      <c r="D38" s="1074"/>
      <c r="E38" s="1074"/>
      <c r="F38" s="1074"/>
      <c r="G38" s="1074"/>
      <c r="H38" s="1074"/>
      <c r="I38" s="1074"/>
      <c r="J38" s="1074"/>
      <c r="K38" s="1074"/>
      <c r="L38" s="1074"/>
      <c r="M38" s="1074"/>
      <c r="N38" s="1074"/>
      <c r="O38" s="1074"/>
      <c r="P38" s="1074"/>
      <c r="Q38" s="1074"/>
      <c r="R38" s="1074"/>
      <c r="S38" s="1074"/>
      <c r="T38" s="1074"/>
      <c r="V38" s="1074"/>
      <c r="W38" s="1074"/>
      <c r="X38" s="1074"/>
      <c r="Y38" s="1074"/>
      <c r="Z38" s="1074"/>
      <c r="AA38" s="1074"/>
      <c r="AB38" s="1074"/>
      <c r="AC38" s="1074"/>
      <c r="AD38" s="1074"/>
      <c r="AE38" s="1074"/>
      <c r="AF38" s="1074"/>
      <c r="AG38" s="1074"/>
      <c r="AH38" s="1074"/>
      <c r="AI38" s="1074"/>
      <c r="AJ38" s="1074"/>
      <c r="AK38" s="1074"/>
      <c r="AL38" s="1074"/>
      <c r="AM38" s="1074"/>
    </row>
    <row r="39" spans="1:39" s="1038" customFormat="1">
      <c r="A39" s="1074"/>
      <c r="B39" s="1074"/>
      <c r="C39" s="1074"/>
      <c r="D39" s="1074"/>
      <c r="E39" s="1074"/>
      <c r="F39" s="1074"/>
      <c r="G39" s="1074"/>
      <c r="H39" s="1074"/>
      <c r="I39" s="1074"/>
      <c r="J39" s="1074"/>
      <c r="K39" s="1074"/>
      <c r="L39" s="1074"/>
      <c r="M39" s="1074"/>
      <c r="N39" s="1074"/>
      <c r="O39" s="1074"/>
      <c r="P39" s="1074"/>
      <c r="Q39" s="1074"/>
      <c r="R39" s="1074"/>
      <c r="S39" s="1074"/>
      <c r="T39" s="1074"/>
      <c r="V39" s="1074"/>
      <c r="W39" s="1074"/>
      <c r="X39" s="1074"/>
      <c r="Y39" s="1074"/>
      <c r="Z39" s="1074"/>
      <c r="AA39" s="1074"/>
      <c r="AB39" s="1074"/>
      <c r="AC39" s="1074"/>
      <c r="AD39" s="1074"/>
      <c r="AE39" s="1074"/>
      <c r="AF39" s="1074"/>
      <c r="AG39" s="1074"/>
      <c r="AH39" s="1074"/>
      <c r="AI39" s="1074"/>
      <c r="AJ39" s="1074"/>
      <c r="AK39" s="1074"/>
      <c r="AL39" s="1074"/>
      <c r="AM39" s="1074"/>
    </row>
    <row r="40" spans="1:39" s="1038" customFormat="1" ht="12" customHeight="1">
      <c r="A40" s="1353" t="s">
        <v>1457</v>
      </c>
      <c r="B40" s="1343" t="s">
        <v>395</v>
      </c>
      <c r="C40" s="1075" t="s">
        <v>1432</v>
      </c>
      <c r="D40" s="1074"/>
      <c r="E40" s="1074"/>
      <c r="F40" s="1074"/>
      <c r="G40" s="1353" t="s">
        <v>1458</v>
      </c>
      <c r="H40" s="1076"/>
      <c r="I40" s="1343" t="s">
        <v>395</v>
      </c>
      <c r="J40" s="1075" t="s">
        <v>1437</v>
      </c>
      <c r="K40" s="1074"/>
      <c r="L40" s="1074"/>
      <c r="M40" s="1074"/>
      <c r="N40" s="1074"/>
      <c r="O40" s="1355" t="s">
        <v>1459</v>
      </c>
      <c r="P40" s="1356"/>
      <c r="Q40" s="1343" t="s">
        <v>395</v>
      </c>
      <c r="R40" s="1075" t="s">
        <v>1428</v>
      </c>
      <c r="S40" s="1074"/>
      <c r="T40" s="1074"/>
      <c r="V40" s="1353" t="s">
        <v>1460</v>
      </c>
      <c r="W40" s="1343" t="s">
        <v>395</v>
      </c>
      <c r="X40" s="1075" t="s">
        <v>1415</v>
      </c>
      <c r="Y40" s="1074"/>
      <c r="Z40" s="1074"/>
      <c r="AA40" s="1074"/>
      <c r="AB40" s="1074"/>
      <c r="AC40" s="1353" t="s">
        <v>1461</v>
      </c>
      <c r="AD40" s="1343" t="s">
        <v>395</v>
      </c>
      <c r="AE40" s="1075" t="s">
        <v>1415</v>
      </c>
      <c r="AF40" s="1074"/>
      <c r="AG40" s="1074"/>
      <c r="AH40" s="1074"/>
      <c r="AI40" s="1353" t="s">
        <v>1462</v>
      </c>
      <c r="AJ40" s="1343" t="s">
        <v>395</v>
      </c>
      <c r="AK40" s="1075" t="s">
        <v>1415</v>
      </c>
      <c r="AL40" s="1074"/>
      <c r="AM40" s="1074"/>
    </row>
    <row r="41" spans="1:39" s="1038" customFormat="1">
      <c r="A41" s="1354"/>
      <c r="B41" s="1343"/>
      <c r="C41" s="1077" t="s">
        <v>1415</v>
      </c>
      <c r="D41" s="1074"/>
      <c r="E41" s="1074"/>
      <c r="F41" s="1074"/>
      <c r="G41" s="1354"/>
      <c r="H41" s="1076"/>
      <c r="I41" s="1343"/>
      <c r="J41" s="1077" t="s">
        <v>1415</v>
      </c>
      <c r="K41" s="1074"/>
      <c r="L41" s="1074"/>
      <c r="M41" s="1074"/>
      <c r="N41" s="1074"/>
      <c r="O41" s="1357"/>
      <c r="P41" s="1358"/>
      <c r="Q41" s="1343"/>
      <c r="R41" s="1077" t="s">
        <v>1415</v>
      </c>
      <c r="S41" s="1074"/>
      <c r="T41" s="1074"/>
      <c r="V41" s="1354"/>
      <c r="W41" s="1343"/>
      <c r="X41" s="1077" t="s">
        <v>1445</v>
      </c>
      <c r="Y41" s="1074"/>
      <c r="Z41" s="1074"/>
      <c r="AA41" s="1074"/>
      <c r="AB41" s="1074"/>
      <c r="AC41" s="1354"/>
      <c r="AD41" s="1343"/>
      <c r="AE41" s="1077" t="s">
        <v>1449</v>
      </c>
      <c r="AF41" s="1074"/>
      <c r="AG41" s="1074"/>
      <c r="AH41" s="1074"/>
      <c r="AI41" s="1354"/>
      <c r="AJ41" s="1343"/>
      <c r="AK41" s="1077" t="s">
        <v>1410</v>
      </c>
      <c r="AL41" s="1074"/>
      <c r="AM41" s="1074"/>
    </row>
    <row r="42" spans="1:39" s="1038" customFormat="1">
      <c r="A42" s="1343" t="str">
        <f>E31</f>
        <v>For year x+2</v>
      </c>
      <c r="B42" s="1343" t="s">
        <v>395</v>
      </c>
      <c r="C42" s="1078">
        <f>E10</f>
        <v>538870</v>
      </c>
      <c r="D42" s="1343" t="s">
        <v>395</v>
      </c>
      <c r="E42" s="1344">
        <f>C42/C43</f>
        <v>0.44161925695001042</v>
      </c>
      <c r="F42" s="1074"/>
      <c r="G42" s="1343" t="str">
        <f>E31</f>
        <v>For year x+2</v>
      </c>
      <c r="H42" s="4"/>
      <c r="I42" s="1343" t="s">
        <v>395</v>
      </c>
      <c r="J42" s="1078">
        <f>E11</f>
        <v>681344</v>
      </c>
      <c r="K42" s="1343" t="s">
        <v>395</v>
      </c>
      <c r="L42" s="1344">
        <f>J42/J43</f>
        <v>0.55838074304998964</v>
      </c>
      <c r="M42" s="1074"/>
      <c r="N42" s="1074"/>
      <c r="O42" s="1352" t="str">
        <f>E31</f>
        <v>For year x+2</v>
      </c>
      <c r="P42" s="1352"/>
      <c r="Q42" s="1343" t="s">
        <v>395</v>
      </c>
      <c r="R42" s="1078">
        <f>E9</f>
        <v>413749</v>
      </c>
      <c r="S42" s="1343" t="s">
        <v>395</v>
      </c>
      <c r="T42" s="1359">
        <f>R42/R43</f>
        <v>0.33907904679015322</v>
      </c>
      <c r="V42" s="1343" t="str">
        <f>$E$31</f>
        <v>For year x+2</v>
      </c>
      <c r="W42" s="1343" t="s">
        <v>395</v>
      </c>
      <c r="X42" s="1078">
        <f>E6</f>
        <v>1220214</v>
      </c>
      <c r="Y42" s="1343" t="s">
        <v>395</v>
      </c>
      <c r="Z42" s="1350">
        <f>X42/X43</f>
        <v>5.0595806260340259</v>
      </c>
      <c r="AA42" s="1080"/>
      <c r="AB42" s="1074"/>
      <c r="AC42" s="1343" t="str">
        <f>$E$31</f>
        <v>For year x+2</v>
      </c>
      <c r="AD42" s="1343" t="s">
        <v>395</v>
      </c>
      <c r="AE42" s="1078">
        <f>E6</f>
        <v>1220214</v>
      </c>
      <c r="AF42" s="1343" t="s">
        <v>395</v>
      </c>
      <c r="AG42" s="1350">
        <f>AE42/AE43</f>
        <v>-26.021794762432833</v>
      </c>
      <c r="AH42" s="1074"/>
      <c r="AI42" s="1343" t="str">
        <f>$E$31</f>
        <v>For year x+2</v>
      </c>
      <c r="AJ42" s="1343" t="s">
        <v>395</v>
      </c>
      <c r="AK42" s="1078">
        <f>E6</f>
        <v>1220214</v>
      </c>
      <c r="AL42" s="1343" t="s">
        <v>395</v>
      </c>
      <c r="AM42" s="1350">
        <f>AK42/AK43</f>
        <v>2.4985126730697229</v>
      </c>
    </row>
    <row r="43" spans="1:39" s="1038" customFormat="1">
      <c r="A43" s="1343"/>
      <c r="B43" s="1343"/>
      <c r="C43" s="1079">
        <f>E6</f>
        <v>1220214</v>
      </c>
      <c r="D43" s="1343"/>
      <c r="E43" s="1344"/>
      <c r="F43" s="1074"/>
      <c r="G43" s="1343"/>
      <c r="H43" s="4"/>
      <c r="I43" s="1343"/>
      <c r="J43" s="1079">
        <f>E6</f>
        <v>1220214</v>
      </c>
      <c r="K43" s="1343"/>
      <c r="L43" s="1344"/>
      <c r="M43" s="1074"/>
      <c r="N43" s="1074"/>
      <c r="O43" s="1352"/>
      <c r="P43" s="1352"/>
      <c r="Q43" s="1343"/>
      <c r="R43" s="1079">
        <f>E6</f>
        <v>1220214</v>
      </c>
      <c r="S43" s="1343"/>
      <c r="T43" s="1359"/>
      <c r="V43" s="1343"/>
      <c r="W43" s="1343"/>
      <c r="X43" s="1079">
        <f>E13</f>
        <v>241169</v>
      </c>
      <c r="Y43" s="1343"/>
      <c r="Z43" s="1350"/>
      <c r="AA43" s="1080"/>
      <c r="AB43" s="1074"/>
      <c r="AC43" s="1343"/>
      <c r="AD43" s="1343"/>
      <c r="AE43" s="1079">
        <f>E14</f>
        <v>-46891.999999999985</v>
      </c>
      <c r="AF43" s="1343"/>
      <c r="AG43" s="1350"/>
      <c r="AH43" s="1074"/>
      <c r="AI43" s="1343"/>
      <c r="AJ43" s="1343"/>
      <c r="AK43" s="1079">
        <f>E5</f>
        <v>488376.15</v>
      </c>
      <c r="AL43" s="1343"/>
      <c r="AM43" s="1350"/>
    </row>
    <row r="44" spans="1:39" s="1038" customFormat="1">
      <c r="A44" s="1343" t="str">
        <f>E33</f>
        <v>For year X+1</v>
      </c>
      <c r="B44" s="1343" t="s">
        <v>395</v>
      </c>
      <c r="C44" s="1078">
        <f>G10</f>
        <v>58559</v>
      </c>
      <c r="D44" s="1343" t="s">
        <v>395</v>
      </c>
      <c r="E44" s="1344">
        <f>C44/C45</f>
        <v>0.21755962000720752</v>
      </c>
      <c r="F44" s="1074"/>
      <c r="G44" s="1343" t="str">
        <f>E33</f>
        <v>For year X+1</v>
      </c>
      <c r="H44" s="4"/>
      <c r="I44" s="1343" t="s">
        <v>395</v>
      </c>
      <c r="J44" s="1078">
        <f>G11</f>
        <v>210604</v>
      </c>
      <c r="K44" s="1343" t="s">
        <v>395</v>
      </c>
      <c r="L44" s="1344">
        <f>J44/J45</f>
        <v>0.78244037999279248</v>
      </c>
      <c r="M44" s="1074"/>
      <c r="N44" s="1074"/>
      <c r="O44" s="1352" t="str">
        <f>E33</f>
        <v>For year X+1</v>
      </c>
      <c r="P44" s="1352"/>
      <c r="Q44" s="1343" t="s">
        <v>395</v>
      </c>
      <c r="R44" s="1078">
        <f>G9</f>
        <v>-1208.8500000000004</v>
      </c>
      <c r="S44" s="1343" t="s">
        <v>395</v>
      </c>
      <c r="T44" s="1359">
        <f>R44/R45</f>
        <v>-4.4911447710123615E-3</v>
      </c>
      <c r="V44" s="1343" t="str">
        <f>$E$33</f>
        <v>For year X+1</v>
      </c>
      <c r="W44" s="1343" t="s">
        <v>395</v>
      </c>
      <c r="X44" s="1078">
        <f>G6</f>
        <v>269163</v>
      </c>
      <c r="Y44" s="1343" t="s">
        <v>395</v>
      </c>
      <c r="Z44" s="1350">
        <f>X44/X45</f>
        <v>1.5656202558151708</v>
      </c>
      <c r="AA44" s="1080"/>
      <c r="AB44" s="1074"/>
      <c r="AC44" s="1343" t="str">
        <f>$E$33</f>
        <v>For year X+1</v>
      </c>
      <c r="AD44" s="1343" t="s">
        <v>395</v>
      </c>
      <c r="AE44" s="1078">
        <f>G6</f>
        <v>269163</v>
      </c>
      <c r="AF44" s="1343" t="s">
        <v>395</v>
      </c>
      <c r="AG44" s="1350">
        <f>AE44/AE45</f>
        <v>11.986773547094192</v>
      </c>
      <c r="AH44" s="1074"/>
      <c r="AI44" s="1343" t="str">
        <f>$E$33</f>
        <v>For year X+1</v>
      </c>
      <c r="AJ44" s="1343" t="s">
        <v>395</v>
      </c>
      <c r="AK44" s="1078">
        <f>G6</f>
        <v>269163</v>
      </c>
      <c r="AL44" s="1343" t="s">
        <v>395</v>
      </c>
      <c r="AM44" s="1350">
        <f>AK44/AK45</f>
        <v>3.6067704582045543</v>
      </c>
    </row>
    <row r="45" spans="1:39" s="1038" customFormat="1">
      <c r="A45" s="1343"/>
      <c r="B45" s="1343"/>
      <c r="C45" s="1079">
        <f>G6</f>
        <v>269163</v>
      </c>
      <c r="D45" s="1343"/>
      <c r="E45" s="1344"/>
      <c r="F45" s="1074"/>
      <c r="G45" s="1343"/>
      <c r="H45" s="4"/>
      <c r="I45" s="1343"/>
      <c r="J45" s="1079">
        <f>G6</f>
        <v>269163</v>
      </c>
      <c r="K45" s="1343"/>
      <c r="L45" s="1344"/>
      <c r="M45" s="1074"/>
      <c r="N45" s="1074"/>
      <c r="O45" s="1352"/>
      <c r="P45" s="1352"/>
      <c r="Q45" s="1343"/>
      <c r="R45" s="1079">
        <f>G6</f>
        <v>269163</v>
      </c>
      <c r="S45" s="1343"/>
      <c r="T45" s="1359"/>
      <c r="V45" s="1343"/>
      <c r="W45" s="1343"/>
      <c r="X45" s="1079">
        <f>G13</f>
        <v>171921</v>
      </c>
      <c r="Y45" s="1343"/>
      <c r="Z45" s="1350"/>
      <c r="AA45" s="1080"/>
      <c r="AB45" s="1074"/>
      <c r="AC45" s="1343"/>
      <c r="AD45" s="1343"/>
      <c r="AE45" s="1079">
        <f>G14</f>
        <v>22454.999999999993</v>
      </c>
      <c r="AF45" s="1343"/>
      <c r="AG45" s="1350"/>
      <c r="AH45" s="1074"/>
      <c r="AI45" s="1343"/>
      <c r="AJ45" s="1343"/>
      <c r="AK45" s="1079">
        <f>G5</f>
        <v>74627.149999999994</v>
      </c>
      <c r="AL45" s="1343"/>
      <c r="AM45" s="1350"/>
    </row>
    <row r="46" spans="1:39" s="1038" customFormat="1">
      <c r="A46" s="1343" t="str">
        <f>E35</f>
        <v>For year X</v>
      </c>
      <c r="B46" s="1343" t="s">
        <v>395</v>
      </c>
      <c r="C46" s="1078">
        <f>H10</f>
        <v>-28540</v>
      </c>
      <c r="D46" s="1343" t="s">
        <v>395</v>
      </c>
      <c r="E46" s="1344">
        <f>C46/C47</f>
        <v>-0.63669827105409926</v>
      </c>
      <c r="F46" s="1074"/>
      <c r="G46" s="1343" t="str">
        <f>E35</f>
        <v>For year X</v>
      </c>
      <c r="H46" s="4"/>
      <c r="I46" s="1343" t="s">
        <v>395</v>
      </c>
      <c r="J46" s="1078">
        <f>H11</f>
        <v>73365</v>
      </c>
      <c r="K46" s="1343" t="s">
        <v>395</v>
      </c>
      <c r="L46" s="1344">
        <f>J46/J47</f>
        <v>1.6366982710540994</v>
      </c>
      <c r="M46" s="1074"/>
      <c r="N46" s="1074"/>
      <c r="O46" s="1352" t="str">
        <f>E35</f>
        <v>For year X</v>
      </c>
      <c r="P46" s="1352"/>
      <c r="Q46" s="1343" t="s">
        <v>395</v>
      </c>
      <c r="R46" s="1078">
        <f>H9</f>
        <v>-64164</v>
      </c>
      <c r="S46" s="1343" t="s">
        <v>395</v>
      </c>
      <c r="T46" s="1359">
        <f>R46/R47</f>
        <v>-1.4314333519241496</v>
      </c>
      <c r="V46" s="1343" t="str">
        <f>$E$35</f>
        <v>For year X</v>
      </c>
      <c r="W46" s="1343" t="s">
        <v>395</v>
      </c>
      <c r="X46" s="1078">
        <f>H6</f>
        <v>44825</v>
      </c>
      <c r="Y46" s="1343" t="s">
        <v>395</v>
      </c>
      <c r="Z46" s="1350">
        <f>X46/X47</f>
        <v>0.20322438783328572</v>
      </c>
      <c r="AA46" s="1080"/>
      <c r="AB46" s="1074"/>
      <c r="AC46" s="1343" t="str">
        <f>$E$35</f>
        <v>For year X</v>
      </c>
      <c r="AD46" s="1343" t="s">
        <v>395</v>
      </c>
      <c r="AE46" s="1078">
        <f>H6</f>
        <v>44825</v>
      </c>
      <c r="AF46" s="1343" t="s">
        <v>395</v>
      </c>
      <c r="AG46" s="1350">
        <f>AE46/AE47</f>
        <v>0.7864724975875077</v>
      </c>
      <c r="AH46" s="1074"/>
      <c r="AI46" s="1343" t="str">
        <f>$E$35</f>
        <v>For year X</v>
      </c>
      <c r="AJ46" s="1343" t="s">
        <v>395</v>
      </c>
      <c r="AK46" s="1078">
        <f>H6</f>
        <v>44825</v>
      </c>
      <c r="AL46" s="1343" t="s">
        <v>395</v>
      </c>
      <c r="AM46" s="1350">
        <f>AK46/AK47</f>
        <v>0.59107811593438475</v>
      </c>
    </row>
    <row r="47" spans="1:39" s="1038" customFormat="1">
      <c r="A47" s="1343"/>
      <c r="B47" s="1343"/>
      <c r="C47" s="1079">
        <f>H6</f>
        <v>44825</v>
      </c>
      <c r="D47" s="1343"/>
      <c r="E47" s="1344"/>
      <c r="F47" s="1074"/>
      <c r="G47" s="1343"/>
      <c r="H47" s="4"/>
      <c r="I47" s="1343"/>
      <c r="J47" s="1079">
        <f>H6</f>
        <v>44825</v>
      </c>
      <c r="K47" s="1343"/>
      <c r="L47" s="1344"/>
      <c r="M47" s="1074"/>
      <c r="N47" s="1074"/>
      <c r="O47" s="1352"/>
      <c r="P47" s="1352"/>
      <c r="Q47" s="1343"/>
      <c r="R47" s="1079">
        <f>H6</f>
        <v>44825</v>
      </c>
      <c r="S47" s="1343"/>
      <c r="T47" s="1359"/>
      <c r="V47" s="1343"/>
      <c r="W47" s="1343"/>
      <c r="X47" s="1079">
        <f>H13</f>
        <v>220569</v>
      </c>
      <c r="Y47" s="1343"/>
      <c r="Z47" s="1350"/>
      <c r="AA47" s="1080"/>
      <c r="AB47" s="1074"/>
      <c r="AC47" s="1343"/>
      <c r="AD47" s="1343"/>
      <c r="AE47" s="1079">
        <f>H14</f>
        <v>56995</v>
      </c>
      <c r="AF47" s="1343"/>
      <c r="AG47" s="1350"/>
      <c r="AH47" s="1074"/>
      <c r="AI47" s="1343"/>
      <c r="AJ47" s="1343"/>
      <c r="AK47" s="1079">
        <f>H5</f>
        <v>75836</v>
      </c>
      <c r="AL47" s="1343"/>
      <c r="AM47" s="1350"/>
    </row>
    <row r="48" spans="1:39" s="1038" customFormat="1"/>
    <row r="49" spans="1:41" s="1038" customFormat="1">
      <c r="A49" s="1360" t="s">
        <v>1463</v>
      </c>
      <c r="B49" s="1360"/>
      <c r="C49" s="1360"/>
      <c r="D49" s="1360"/>
      <c r="E49" s="1360"/>
      <c r="F49" s="1360"/>
      <c r="G49" s="1360"/>
      <c r="H49" s="1360"/>
      <c r="I49" s="1360"/>
      <c r="J49" s="1360"/>
      <c r="K49" s="1360"/>
      <c r="L49" s="1360"/>
      <c r="V49" s="1360" t="s">
        <v>1464</v>
      </c>
      <c r="W49" s="1360"/>
      <c r="X49" s="1360"/>
      <c r="Y49" s="1360"/>
      <c r="Z49" s="1360"/>
      <c r="AA49" s="1360"/>
      <c r="AB49" s="1360"/>
      <c r="AC49" s="1360"/>
      <c r="AD49" s="1360"/>
      <c r="AE49" s="1360"/>
      <c r="AF49" s="1360"/>
      <c r="AG49" s="1360"/>
      <c r="AH49" s="1360"/>
      <c r="AI49" s="1360"/>
      <c r="AJ49" s="1360"/>
      <c r="AK49" s="1360"/>
      <c r="AL49" s="1360"/>
      <c r="AM49" s="1360"/>
      <c r="AN49" s="1053"/>
      <c r="AO49" s="1053"/>
    </row>
    <row r="50" spans="1:41" s="1038" customFormat="1">
      <c r="A50" s="1074"/>
      <c r="B50" s="1074"/>
      <c r="C50" s="1074"/>
      <c r="D50" s="1074"/>
      <c r="E50" s="1074"/>
      <c r="F50" s="1074"/>
      <c r="G50" s="1074"/>
      <c r="H50" s="1074"/>
      <c r="I50" s="1074"/>
      <c r="J50" s="1074"/>
      <c r="K50" s="1074"/>
      <c r="L50" s="1074"/>
      <c r="V50" s="1074"/>
      <c r="W50" s="1074"/>
      <c r="X50" s="1074"/>
      <c r="Y50" s="1074"/>
      <c r="Z50" s="1074"/>
      <c r="AA50" s="1074"/>
      <c r="AB50" s="1074"/>
      <c r="AC50" s="1074"/>
      <c r="AD50" s="1074"/>
      <c r="AE50" s="1074"/>
      <c r="AF50" s="1074"/>
      <c r="AG50" s="1074"/>
      <c r="AH50" s="1074"/>
      <c r="AI50" s="1074"/>
      <c r="AJ50" s="1074"/>
      <c r="AK50" s="1074"/>
      <c r="AL50" s="1074"/>
      <c r="AM50" s="1074"/>
    </row>
    <row r="51" spans="1:41" s="1038" customFormat="1">
      <c r="A51" s="1353" t="s">
        <v>828</v>
      </c>
      <c r="B51" s="1343" t="s">
        <v>395</v>
      </c>
      <c r="C51" s="1075" t="s">
        <v>1419</v>
      </c>
      <c r="D51" s="1074"/>
      <c r="E51" s="1074"/>
      <c r="F51" s="1074"/>
      <c r="G51" s="1353" t="s">
        <v>827</v>
      </c>
      <c r="H51" s="1076"/>
      <c r="I51" s="1343" t="s">
        <v>395</v>
      </c>
      <c r="J51" s="1075" t="s">
        <v>1465</v>
      </c>
      <c r="K51" s="1074"/>
      <c r="L51" s="1074"/>
      <c r="V51" s="1353" t="s">
        <v>1466</v>
      </c>
      <c r="W51" s="1343" t="s">
        <v>395</v>
      </c>
      <c r="X51" s="1075" t="s">
        <v>1413</v>
      </c>
      <c r="Y51" s="1074"/>
      <c r="Z51" s="1074"/>
      <c r="AA51" s="1074"/>
      <c r="AB51" s="1074"/>
      <c r="AC51" s="1353" t="s">
        <v>1467</v>
      </c>
      <c r="AD51" s="1343" t="s">
        <v>395</v>
      </c>
      <c r="AE51" s="1075" t="s">
        <v>1413</v>
      </c>
      <c r="AF51" s="1074"/>
      <c r="AG51" s="1074"/>
      <c r="AH51" s="1074"/>
      <c r="AI51" s="1353" t="s">
        <v>1468</v>
      </c>
      <c r="AJ51" s="1343" t="s">
        <v>395</v>
      </c>
      <c r="AK51" s="1075" t="s">
        <v>1405</v>
      </c>
      <c r="AL51" s="1074"/>
      <c r="AM51" s="1074"/>
    </row>
    <row r="52" spans="1:41" s="1038" customFormat="1">
      <c r="A52" s="1354"/>
      <c r="B52" s="1343"/>
      <c r="C52" s="1077" t="s">
        <v>1424</v>
      </c>
      <c r="D52" s="1074"/>
      <c r="E52" s="1074"/>
      <c r="F52" s="1074"/>
      <c r="G52" s="1354"/>
      <c r="H52" s="1076"/>
      <c r="I52" s="1343"/>
      <c r="J52" s="1077" t="s">
        <v>1424</v>
      </c>
      <c r="K52" s="1074"/>
      <c r="L52" s="1074"/>
      <c r="V52" s="1354"/>
      <c r="W52" s="1343"/>
      <c r="X52" s="1077" t="s">
        <v>1469</v>
      </c>
      <c r="Y52" s="1074"/>
      <c r="Z52" s="1074"/>
      <c r="AA52" s="1074"/>
      <c r="AB52" s="1074"/>
      <c r="AC52" s="1354"/>
      <c r="AD52" s="1343"/>
      <c r="AE52" s="1077" t="s">
        <v>1417</v>
      </c>
      <c r="AF52" s="1074"/>
      <c r="AG52" s="1074"/>
      <c r="AH52" s="1074"/>
      <c r="AI52" s="1354"/>
      <c r="AJ52" s="1343"/>
      <c r="AK52" s="1077" t="s">
        <v>1422</v>
      </c>
      <c r="AL52" s="1074"/>
      <c r="AM52" s="1074"/>
    </row>
    <row r="53" spans="1:41" s="1038" customFormat="1">
      <c r="A53" s="1343" t="str">
        <f>$E$31</f>
        <v>For year x+2</v>
      </c>
      <c r="B53" s="1343" t="s">
        <v>395</v>
      </c>
      <c r="C53" s="1078">
        <f>E7</f>
        <v>12406</v>
      </c>
      <c r="D53" s="1343" t="s">
        <v>395</v>
      </c>
      <c r="E53" s="1350">
        <f>C53/C54</f>
        <v>0.20921447603629131</v>
      </c>
      <c r="F53" s="1074"/>
      <c r="G53" s="1343" t="str">
        <f>$E$31</f>
        <v>For year x+2</v>
      </c>
      <c r="H53" s="4"/>
      <c r="I53" s="1343" t="s">
        <v>395</v>
      </c>
      <c r="J53" s="1078">
        <f>E7-X4</f>
        <v>12406</v>
      </c>
      <c r="K53" s="1343" t="s">
        <v>395</v>
      </c>
      <c r="L53" s="1350">
        <f>J53/J54</f>
        <v>0.20921447603629131</v>
      </c>
      <c r="V53" s="1343" t="str">
        <f>$E$31</f>
        <v>For year x+2</v>
      </c>
      <c r="W53" s="1343" t="s">
        <v>395</v>
      </c>
      <c r="X53" s="1078">
        <f>X5</f>
        <v>123326.50222864126</v>
      </c>
      <c r="Y53" s="1343" t="s">
        <v>395</v>
      </c>
      <c r="Z53" s="1359">
        <f>X53/X54</f>
        <v>0.20161184814112013</v>
      </c>
      <c r="AA53" s="1081"/>
      <c r="AB53" s="1074"/>
      <c r="AC53" s="1343" t="str">
        <f>$E$31</f>
        <v>For year x+2</v>
      </c>
      <c r="AD53" s="1343" t="s">
        <v>395</v>
      </c>
      <c r="AE53" s="1078">
        <f>X5</f>
        <v>123326.50222864126</v>
      </c>
      <c r="AF53" s="1343" t="s">
        <v>395</v>
      </c>
      <c r="AG53" s="1359">
        <f>AE53/AE54</f>
        <v>0.25252359729000129</v>
      </c>
      <c r="AH53" s="1074"/>
      <c r="AI53" s="1343" t="str">
        <f>$E$31</f>
        <v>For year x+2</v>
      </c>
      <c r="AJ53" s="1343" t="s">
        <v>395</v>
      </c>
      <c r="AK53" s="1078">
        <f>E4</f>
        <v>452966</v>
      </c>
      <c r="AL53" s="1343" t="s">
        <v>395</v>
      </c>
      <c r="AM53" s="1350">
        <f>AK53/AK54</f>
        <v>57.308451417004051</v>
      </c>
    </row>
    <row r="54" spans="1:41" s="1038" customFormat="1">
      <c r="A54" s="1343"/>
      <c r="B54" s="1343"/>
      <c r="C54" s="1079">
        <f>E8</f>
        <v>59297.999999999985</v>
      </c>
      <c r="D54" s="1343"/>
      <c r="E54" s="1350"/>
      <c r="F54" s="1074"/>
      <c r="G54" s="1343"/>
      <c r="H54" s="4"/>
      <c r="I54" s="1343"/>
      <c r="J54" s="1079">
        <f>E8</f>
        <v>59297.999999999985</v>
      </c>
      <c r="K54" s="1343"/>
      <c r="L54" s="1350"/>
      <c r="V54" s="1343"/>
      <c r="W54" s="1343"/>
      <c r="X54" s="1079">
        <f>X5+X6</f>
        <v>611702.65222864132</v>
      </c>
      <c r="Y54" s="1343"/>
      <c r="Z54" s="1359"/>
      <c r="AA54" s="1081"/>
      <c r="AB54" s="1074"/>
      <c r="AC54" s="1343"/>
      <c r="AD54" s="1343"/>
      <c r="AE54" s="1079">
        <f>X6</f>
        <v>488376.15</v>
      </c>
      <c r="AF54" s="1343"/>
      <c r="AG54" s="1359"/>
      <c r="AH54" s="1074"/>
      <c r="AI54" s="1343"/>
      <c r="AJ54" s="1343"/>
      <c r="AK54" s="1079">
        <f>X7</f>
        <v>7904</v>
      </c>
      <c r="AL54" s="1343"/>
      <c r="AM54" s="1350"/>
    </row>
    <row r="55" spans="1:41" s="1038" customFormat="1">
      <c r="A55" s="1343" t="str">
        <f>$E$33</f>
        <v>For year X+1</v>
      </c>
      <c r="B55" s="1343" t="s">
        <v>395</v>
      </c>
      <c r="C55" s="1078">
        <f>G7</f>
        <v>24165.999999999993</v>
      </c>
      <c r="D55" s="1343" t="s">
        <v>395</v>
      </c>
      <c r="E55" s="1350">
        <f>C55/C56</f>
        <v>14.123904149620101</v>
      </c>
      <c r="F55" s="1074"/>
      <c r="G55" s="1343" t="str">
        <f>$E$33</f>
        <v>For year X+1</v>
      </c>
      <c r="H55" s="4"/>
      <c r="I55" s="1343" t="s">
        <v>395</v>
      </c>
      <c r="J55" s="1078">
        <f>G7-Z4</f>
        <v>24165.999999999993</v>
      </c>
      <c r="K55" s="1343" t="s">
        <v>395</v>
      </c>
      <c r="L55" s="1350">
        <f>J55/J56</f>
        <v>14.123904149620101</v>
      </c>
      <c r="V55" s="1343" t="str">
        <f>$E$33</f>
        <v>For year X+1</v>
      </c>
      <c r="W55" s="1343" t="s">
        <v>395</v>
      </c>
      <c r="X55" s="1078">
        <f>Z5</f>
        <v>162523.59201019825</v>
      </c>
      <c r="Y55" s="1343" t="s">
        <v>395</v>
      </c>
      <c r="Z55" s="1359">
        <f>X55/X56</f>
        <v>0.6853176618068908</v>
      </c>
      <c r="AA55" s="1081"/>
      <c r="AB55" s="1074"/>
      <c r="AC55" s="1343" t="str">
        <f>$E$33</f>
        <v>For year X+1</v>
      </c>
      <c r="AD55" s="1343" t="s">
        <v>395</v>
      </c>
      <c r="AE55" s="1078">
        <f>Z5</f>
        <v>162523.59201019825</v>
      </c>
      <c r="AF55" s="1343" t="s">
        <v>395</v>
      </c>
      <c r="AG55" s="1359">
        <f>AE55/AE56</f>
        <v>2.1778078354888035</v>
      </c>
      <c r="AH55" s="1074"/>
      <c r="AI55" s="1343" t="str">
        <f>$E$33</f>
        <v>For year X+1</v>
      </c>
      <c r="AJ55" s="1343" t="s">
        <v>395</v>
      </c>
      <c r="AK55" s="1078">
        <f>G4</f>
        <v>-1208.8500000000004</v>
      </c>
      <c r="AL55" s="1343" t="s">
        <v>395</v>
      </c>
      <c r="AM55" s="1350">
        <f>AK55/AK56</f>
        <v>-0.11226475108772878</v>
      </c>
    </row>
    <row r="56" spans="1:41" s="1038" customFormat="1">
      <c r="A56" s="1343"/>
      <c r="B56" s="1343"/>
      <c r="C56" s="1079">
        <f>G8</f>
        <v>1711</v>
      </c>
      <c r="D56" s="1343"/>
      <c r="E56" s="1350"/>
      <c r="F56" s="1074"/>
      <c r="G56" s="1343"/>
      <c r="H56" s="4"/>
      <c r="I56" s="1343"/>
      <c r="J56" s="1079">
        <f>G8</f>
        <v>1711</v>
      </c>
      <c r="K56" s="1343"/>
      <c r="L56" s="1350"/>
      <c r="V56" s="1343"/>
      <c r="W56" s="1343"/>
      <c r="X56" s="1079">
        <f>Z5+Z6</f>
        <v>237150.74201019824</v>
      </c>
      <c r="Y56" s="1343"/>
      <c r="Z56" s="1359"/>
      <c r="AA56" s="1081"/>
      <c r="AB56" s="1074"/>
      <c r="AC56" s="1343"/>
      <c r="AD56" s="1343"/>
      <c r="AE56" s="1079">
        <f>Z6</f>
        <v>74627.149999999994</v>
      </c>
      <c r="AF56" s="1343"/>
      <c r="AG56" s="1359"/>
      <c r="AH56" s="1074"/>
      <c r="AI56" s="1343"/>
      <c r="AJ56" s="1343"/>
      <c r="AK56" s="1079">
        <f>Z7</f>
        <v>10767.85</v>
      </c>
      <c r="AL56" s="1343"/>
      <c r="AM56" s="1350"/>
    </row>
    <row r="57" spans="1:41" s="1038" customFormat="1">
      <c r="A57" s="1343" t="str">
        <f>$E$35</f>
        <v>For year X</v>
      </c>
      <c r="B57" s="1343" t="s">
        <v>395</v>
      </c>
      <c r="C57" s="1078">
        <f>H7</f>
        <v>57277</v>
      </c>
      <c r="D57" s="1343" t="s">
        <v>395</v>
      </c>
      <c r="E57" s="1350">
        <f>C57/C58</f>
        <v>203.10992907801418</v>
      </c>
      <c r="F57" s="1074"/>
      <c r="G57" s="1343" t="str">
        <f>$E$35</f>
        <v>For year X</v>
      </c>
      <c r="H57" s="4"/>
      <c r="I57" s="1343" t="s">
        <v>395</v>
      </c>
      <c r="J57" s="1078">
        <f>H7-AA4</f>
        <v>57277</v>
      </c>
      <c r="K57" s="1343" t="s">
        <v>395</v>
      </c>
      <c r="L57" s="1350">
        <f>J57/J58</f>
        <v>203.10992907801418</v>
      </c>
      <c r="V57" s="1343" t="str">
        <f>$E$35</f>
        <v>For year X</v>
      </c>
      <c r="W57" s="1343" t="s">
        <v>395</v>
      </c>
      <c r="X57" s="1078">
        <f>AA5</f>
        <v>200802</v>
      </c>
      <c r="Y57" s="1343" t="s">
        <v>395</v>
      </c>
      <c r="Z57" s="1359">
        <f>X57/X58</f>
        <v>0.72586557161344434</v>
      </c>
      <c r="AA57" s="1081"/>
      <c r="AB57" s="1074"/>
      <c r="AC57" s="1343" t="str">
        <f>$E$35</f>
        <v>For year X</v>
      </c>
      <c r="AD57" s="1343" t="s">
        <v>395</v>
      </c>
      <c r="AE57" s="1078">
        <f>AA5</f>
        <v>200802</v>
      </c>
      <c r="AF57" s="1343" t="s">
        <v>395</v>
      </c>
      <c r="AG57" s="1359">
        <f>AE57/AE58</f>
        <v>2.6478453504931694</v>
      </c>
      <c r="AH57" s="1074"/>
      <c r="AI57" s="1343" t="str">
        <f>$E$35</f>
        <v>For year X</v>
      </c>
      <c r="AJ57" s="1343" t="s">
        <v>395</v>
      </c>
      <c r="AK57" s="1078">
        <f>H4</f>
        <v>-64164</v>
      </c>
      <c r="AL57" s="1343" t="s">
        <v>395</v>
      </c>
      <c r="AM57" s="1350">
        <f>AK57/AK58</f>
        <v>-5.7680690399137005</v>
      </c>
    </row>
    <row r="58" spans="1:41" s="1038" customFormat="1">
      <c r="A58" s="1343"/>
      <c r="B58" s="1343"/>
      <c r="C58" s="1079">
        <f>H8</f>
        <v>282</v>
      </c>
      <c r="D58" s="1343"/>
      <c r="E58" s="1350"/>
      <c r="F58" s="1074"/>
      <c r="G58" s="1343"/>
      <c r="H58" s="4"/>
      <c r="I58" s="1343"/>
      <c r="J58" s="1079">
        <f>H8</f>
        <v>282</v>
      </c>
      <c r="K58" s="1343"/>
      <c r="L58" s="1350"/>
      <c r="V58" s="1343"/>
      <c r="W58" s="1343"/>
      <c r="X58" s="1079">
        <f>AA5+AA6</f>
        <v>276638</v>
      </c>
      <c r="Y58" s="1343"/>
      <c r="Z58" s="1359"/>
      <c r="AA58" s="1081"/>
      <c r="AB58" s="1074"/>
      <c r="AC58" s="1343"/>
      <c r="AD58" s="1343"/>
      <c r="AE58" s="1079">
        <f>AA6</f>
        <v>75836</v>
      </c>
      <c r="AF58" s="1343"/>
      <c r="AG58" s="1359"/>
      <c r="AH58" s="1074"/>
      <c r="AI58" s="1343"/>
      <c r="AJ58" s="1343"/>
      <c r="AK58" s="1079">
        <f>AA7</f>
        <v>11124</v>
      </c>
      <c r="AL58" s="1343"/>
      <c r="AM58" s="1350"/>
    </row>
    <row r="59" spans="1:41" s="1038" customFormat="1"/>
    <row r="60" spans="1:41" s="1038" customFormat="1">
      <c r="A60" s="1360" t="s">
        <v>1470</v>
      </c>
      <c r="B60" s="1360"/>
      <c r="C60" s="1360"/>
      <c r="D60" s="1360"/>
      <c r="E60" s="1360"/>
      <c r="F60" s="1360"/>
      <c r="G60" s="1360"/>
      <c r="H60" s="1360"/>
      <c r="I60" s="1360"/>
      <c r="J60" s="1360"/>
      <c r="K60" s="1360"/>
      <c r="L60" s="1360"/>
      <c r="M60" s="1360"/>
      <c r="N60" s="1360"/>
      <c r="O60" s="1360"/>
      <c r="P60" s="1360"/>
      <c r="Q60" s="1360"/>
      <c r="R60" s="1360"/>
      <c r="S60" s="1360"/>
      <c r="T60" s="1360"/>
    </row>
    <row r="61" spans="1:41" s="1038" customFormat="1">
      <c r="A61" s="1074"/>
      <c r="B61" s="1074"/>
      <c r="C61" s="1074"/>
      <c r="D61" s="1074"/>
      <c r="E61" s="1074"/>
      <c r="F61" s="1074"/>
      <c r="G61" s="1074"/>
      <c r="H61" s="1074"/>
      <c r="I61" s="1074"/>
      <c r="J61" s="1074"/>
      <c r="K61" s="1074"/>
      <c r="L61" s="1074"/>
      <c r="M61" s="1074"/>
      <c r="N61" s="1074"/>
      <c r="O61" s="1074"/>
      <c r="P61" s="1074"/>
      <c r="Q61" s="1074"/>
      <c r="R61" s="1074"/>
      <c r="S61" s="1074"/>
      <c r="T61" s="1074"/>
    </row>
    <row r="62" spans="1:41" s="1038" customFormat="1">
      <c r="A62" s="1353" t="s">
        <v>1471</v>
      </c>
      <c r="B62" s="1343" t="s">
        <v>395</v>
      </c>
      <c r="C62" s="1075" t="s">
        <v>1472</v>
      </c>
      <c r="D62" s="1074"/>
      <c r="E62" s="1074"/>
      <c r="F62" s="1074"/>
      <c r="G62" s="1353" t="s">
        <v>1473</v>
      </c>
      <c r="H62" s="1076"/>
      <c r="I62" s="1343" t="s">
        <v>395</v>
      </c>
      <c r="J62" s="1075" t="s">
        <v>1474</v>
      </c>
      <c r="K62" s="1074"/>
      <c r="L62" s="1074"/>
      <c r="M62" s="1074"/>
      <c r="N62" s="1074"/>
      <c r="O62" s="1355" t="s">
        <v>1475</v>
      </c>
      <c r="P62" s="1356"/>
      <c r="Q62" s="1343" t="s">
        <v>395</v>
      </c>
      <c r="R62" s="1075" t="s">
        <v>1476</v>
      </c>
      <c r="S62" s="1074"/>
      <c r="T62" s="1074"/>
    </row>
    <row r="63" spans="1:41" s="1038" customFormat="1">
      <c r="A63" s="1354"/>
      <c r="B63" s="1343"/>
      <c r="C63" s="1077" t="s">
        <v>1426</v>
      </c>
      <c r="D63" s="1074"/>
      <c r="E63" s="1074"/>
      <c r="F63" s="1074"/>
      <c r="G63" s="1354"/>
      <c r="H63" s="1076"/>
      <c r="I63" s="1343"/>
      <c r="J63" s="1077" t="s">
        <v>1415</v>
      </c>
      <c r="K63" s="1074"/>
      <c r="L63" s="1074"/>
      <c r="M63" s="1074"/>
      <c r="N63" s="1074"/>
      <c r="O63" s="1357"/>
      <c r="P63" s="1358"/>
      <c r="Q63" s="1343"/>
      <c r="R63" s="1077" t="s">
        <v>1439</v>
      </c>
      <c r="S63" s="1074"/>
      <c r="T63" s="1074"/>
    </row>
    <row r="64" spans="1:41" s="1038" customFormat="1">
      <c r="A64" s="1343" t="str">
        <f>$E$31</f>
        <v>For year x+2</v>
      </c>
      <c r="B64" s="1343" t="s">
        <v>395</v>
      </c>
      <c r="C64" s="1078">
        <f>X4*365</f>
        <v>0</v>
      </c>
      <c r="D64" s="1343" t="s">
        <v>395</v>
      </c>
      <c r="E64" s="1362">
        <f>C64/C65</f>
        <v>0</v>
      </c>
      <c r="F64" s="1074"/>
      <c r="G64" s="1343" t="str">
        <f>$E$31</f>
        <v>For year x+2</v>
      </c>
      <c r="H64" s="4"/>
      <c r="I64" s="1343" t="s">
        <v>395</v>
      </c>
      <c r="J64" s="1078">
        <f>X9*365</f>
        <v>4528190</v>
      </c>
      <c r="K64" s="1343" t="s">
        <v>395</v>
      </c>
      <c r="L64" s="1361">
        <f>J64/J65</f>
        <v>3.7109802051115626</v>
      </c>
      <c r="M64" s="1074"/>
      <c r="N64" s="1074"/>
      <c r="O64" s="1352" t="str">
        <f>E31</f>
        <v>For year x+2</v>
      </c>
      <c r="P64" s="1352"/>
      <c r="Q64" s="1343" t="s">
        <v>395</v>
      </c>
      <c r="R64" s="1078">
        <f>X10*365</f>
        <v>2774000</v>
      </c>
      <c r="S64" s="1343" t="s">
        <v>395</v>
      </c>
      <c r="T64" s="1350">
        <f>R64/R65</f>
        <v>23.994879247110926</v>
      </c>
    </row>
    <row r="65" spans="1:39" s="1038" customFormat="1">
      <c r="A65" s="1343"/>
      <c r="B65" s="1343"/>
      <c r="C65" s="1079">
        <f>X8</f>
        <v>115608</v>
      </c>
      <c r="D65" s="1343"/>
      <c r="E65" s="1362"/>
      <c r="F65" s="1074"/>
      <c r="G65" s="1343"/>
      <c r="H65" s="4"/>
      <c r="I65" s="1343"/>
      <c r="J65" s="1079">
        <f>E6</f>
        <v>1220214</v>
      </c>
      <c r="K65" s="1343"/>
      <c r="L65" s="1361"/>
      <c r="M65" s="1074"/>
      <c r="N65" s="1074"/>
      <c r="O65" s="1352"/>
      <c r="P65" s="1352"/>
      <c r="Q65" s="1343"/>
      <c r="R65" s="1079">
        <f>X11</f>
        <v>115608</v>
      </c>
      <c r="S65" s="1343"/>
      <c r="T65" s="1350"/>
    </row>
    <row r="66" spans="1:39" s="1038" customFormat="1">
      <c r="A66" s="1343" t="str">
        <f>$E$33</f>
        <v>For year X+1</v>
      </c>
      <c r="B66" s="1343" t="s">
        <v>395</v>
      </c>
      <c r="C66" s="1078">
        <f>Z4*365</f>
        <v>0</v>
      </c>
      <c r="D66" s="1343" t="s">
        <v>395</v>
      </c>
      <c r="E66" s="1362">
        <f>C66/C67</f>
        <v>0</v>
      </c>
      <c r="F66" s="1074"/>
      <c r="G66" s="1343" t="str">
        <f>$E$33</f>
        <v>For year X+1</v>
      </c>
      <c r="H66" s="4"/>
      <c r="I66" s="1343" t="s">
        <v>395</v>
      </c>
      <c r="J66" s="1078">
        <f>Z9*365</f>
        <v>998640</v>
      </c>
      <c r="K66" s="1343" t="s">
        <v>395</v>
      </c>
      <c r="L66" s="1361">
        <f>J66/J67</f>
        <v>3.7101681880496207</v>
      </c>
      <c r="M66" s="1074"/>
      <c r="N66" s="1074"/>
      <c r="O66" s="1352" t="str">
        <f>E33</f>
        <v>For year X+1</v>
      </c>
      <c r="P66" s="1352"/>
      <c r="Q66" s="1343" t="s">
        <v>395</v>
      </c>
      <c r="R66" s="1078">
        <f>Z10*365</f>
        <v>624515</v>
      </c>
      <c r="S66" s="1343" t="s">
        <v>395</v>
      </c>
      <c r="T66" s="1350">
        <f>R66/R67</f>
        <v>2.9653520350990483</v>
      </c>
    </row>
    <row r="67" spans="1:39" s="1038" customFormat="1">
      <c r="A67" s="1343"/>
      <c r="B67" s="1343"/>
      <c r="C67" s="1079">
        <f>Z8</f>
        <v>210604</v>
      </c>
      <c r="D67" s="1343"/>
      <c r="E67" s="1362"/>
      <c r="F67" s="1074"/>
      <c r="G67" s="1343"/>
      <c r="H67" s="4"/>
      <c r="I67" s="1343"/>
      <c r="J67" s="1079">
        <f>G6</f>
        <v>269163</v>
      </c>
      <c r="K67" s="1343"/>
      <c r="L67" s="1361"/>
      <c r="M67" s="1074"/>
      <c r="N67" s="1074"/>
      <c r="O67" s="1352"/>
      <c r="P67" s="1352"/>
      <c r="Q67" s="1343"/>
      <c r="R67" s="1079">
        <f>Z11</f>
        <v>210604</v>
      </c>
      <c r="S67" s="1343"/>
      <c r="T67" s="1350"/>
    </row>
    <row r="68" spans="1:39" s="1038" customFormat="1">
      <c r="A68" s="1343" t="str">
        <f>$E$35</f>
        <v>For year X</v>
      </c>
      <c r="B68" s="1343" t="s">
        <v>395</v>
      </c>
      <c r="C68" s="1078">
        <f>AA4*365</f>
        <v>0</v>
      </c>
      <c r="D68" s="1343" t="s">
        <v>395</v>
      </c>
      <c r="E68" s="1362">
        <f>C68/C69</f>
        <v>0</v>
      </c>
      <c r="F68" s="1074"/>
      <c r="G68" s="1343" t="str">
        <f>$E$35</f>
        <v>For year X</v>
      </c>
      <c r="H68" s="4"/>
      <c r="I68" s="1343" t="s">
        <v>395</v>
      </c>
      <c r="J68" s="1078">
        <f>AA9*365</f>
        <v>166440</v>
      </c>
      <c r="K68" s="1343" t="s">
        <v>395</v>
      </c>
      <c r="L68" s="1361">
        <f>J68/J69</f>
        <v>3.7131065253764639</v>
      </c>
      <c r="M68" s="1074"/>
      <c r="N68" s="1074"/>
      <c r="O68" s="1352" t="str">
        <f>E35</f>
        <v>For year X</v>
      </c>
      <c r="P68" s="1352"/>
      <c r="Q68" s="1343" t="s">
        <v>395</v>
      </c>
      <c r="R68" s="1078">
        <f>AA10*365</f>
        <v>102930</v>
      </c>
      <c r="S68" s="1343" t="s">
        <v>395</v>
      </c>
      <c r="T68" s="1350">
        <f>R68/R69</f>
        <v>1.4029850746268657</v>
      </c>
    </row>
    <row r="69" spans="1:39" s="1038" customFormat="1">
      <c r="A69" s="1343"/>
      <c r="B69" s="1343"/>
      <c r="C69" s="1079">
        <f>AA8</f>
        <v>73365</v>
      </c>
      <c r="D69" s="1343"/>
      <c r="E69" s="1362"/>
      <c r="F69" s="1074"/>
      <c r="G69" s="1343"/>
      <c r="H69" s="4"/>
      <c r="I69" s="1343"/>
      <c r="J69" s="1079">
        <f>H6</f>
        <v>44825</v>
      </c>
      <c r="K69" s="1343"/>
      <c r="L69" s="1361"/>
      <c r="M69" s="1074"/>
      <c r="N69" s="1074"/>
      <c r="O69" s="1352"/>
      <c r="P69" s="1352"/>
      <c r="Q69" s="1343"/>
      <c r="R69" s="1079">
        <f>AA11</f>
        <v>73365</v>
      </c>
      <c r="S69" s="1343"/>
      <c r="T69" s="1350"/>
    </row>
    <row r="70" spans="1:39" s="1038" customFormat="1"/>
    <row r="71" spans="1:39" s="1038" customFormat="1">
      <c r="A71" s="1360" t="s">
        <v>1477</v>
      </c>
      <c r="B71" s="1360"/>
      <c r="C71" s="1360"/>
      <c r="D71" s="1360"/>
      <c r="E71" s="1360"/>
      <c r="F71" s="1360"/>
      <c r="G71" s="1360"/>
      <c r="H71" s="1360"/>
      <c r="I71" s="1360"/>
      <c r="J71" s="1360"/>
      <c r="K71" s="1360"/>
      <c r="L71" s="1360"/>
      <c r="M71" s="1360"/>
      <c r="N71" s="1360"/>
      <c r="O71" s="1360"/>
      <c r="P71" s="1360"/>
      <c r="Q71" s="1360"/>
      <c r="R71" s="1360"/>
      <c r="S71" s="1360"/>
      <c r="T71" s="1360"/>
      <c r="U71" s="1360"/>
      <c r="V71" s="1360"/>
      <c r="W71" s="1360"/>
      <c r="X71" s="1360"/>
      <c r="Y71" s="1360"/>
      <c r="Z71" s="1360"/>
      <c r="AA71" s="1360"/>
      <c r="AB71" s="1360"/>
      <c r="AC71" s="1360"/>
      <c r="AD71" s="1360"/>
      <c r="AE71" s="1360"/>
      <c r="AF71" s="1360"/>
      <c r="AG71" s="1360"/>
      <c r="AI71" s="1074"/>
      <c r="AJ71" s="1074"/>
      <c r="AK71" s="1074"/>
      <c r="AL71" s="1074"/>
      <c r="AM71" s="1074"/>
    </row>
    <row r="72" spans="1:39" s="1038" customFormat="1">
      <c r="A72" s="1074"/>
      <c r="B72" s="1074"/>
      <c r="C72" s="1074"/>
      <c r="D72" s="1074"/>
      <c r="E72" s="1074"/>
      <c r="F72" s="1074"/>
      <c r="G72" s="1074"/>
      <c r="H72" s="1074"/>
      <c r="I72" s="1074"/>
      <c r="J72" s="1074"/>
      <c r="K72" s="1074"/>
      <c r="L72" s="1074"/>
      <c r="M72" s="1074"/>
      <c r="N72" s="1074"/>
      <c r="O72" s="1074"/>
      <c r="P72" s="1074"/>
      <c r="Q72" s="1074"/>
      <c r="R72" s="1074"/>
      <c r="S72" s="1074"/>
      <c r="T72" s="1074"/>
      <c r="U72" s="1074"/>
      <c r="V72" s="1074"/>
      <c r="W72" s="1074"/>
      <c r="X72" s="1074"/>
      <c r="Y72" s="1074"/>
      <c r="Z72" s="1074"/>
      <c r="AA72" s="1074"/>
      <c r="AB72" s="1074"/>
      <c r="AC72" s="1074"/>
      <c r="AD72" s="1074"/>
      <c r="AE72" s="1074"/>
      <c r="AF72" s="1074"/>
      <c r="AG72" s="1074"/>
      <c r="AI72" s="1074"/>
      <c r="AJ72" s="1074"/>
      <c r="AK72" s="1074"/>
      <c r="AL72" s="1074"/>
      <c r="AM72" s="1074"/>
    </row>
    <row r="73" spans="1:39" s="1038" customFormat="1">
      <c r="A73" s="1353" t="s">
        <v>1478</v>
      </c>
      <c r="B73" s="1343" t="s">
        <v>395</v>
      </c>
      <c r="C73" s="1075" t="s">
        <v>1443</v>
      </c>
      <c r="D73" s="1074"/>
      <c r="E73" s="1074"/>
      <c r="F73" s="1074"/>
      <c r="G73" s="1353" t="s">
        <v>1479</v>
      </c>
      <c r="H73" s="1076"/>
      <c r="I73" s="1343" t="s">
        <v>395</v>
      </c>
      <c r="J73" s="1075" t="s">
        <v>1428</v>
      </c>
      <c r="K73" s="1074"/>
      <c r="L73" s="1074"/>
      <c r="M73" s="1074"/>
      <c r="N73" s="1074"/>
      <c r="O73" s="1355" t="s">
        <v>1480</v>
      </c>
      <c r="P73" s="1356"/>
      <c r="Q73" s="1343" t="s">
        <v>395</v>
      </c>
      <c r="R73" s="1075" t="s">
        <v>1481</v>
      </c>
      <c r="S73" s="1074"/>
      <c r="T73" s="1074"/>
      <c r="U73" s="1074"/>
      <c r="V73" s="1353" t="s">
        <v>672</v>
      </c>
      <c r="W73" s="1343" t="s">
        <v>395</v>
      </c>
      <c r="X73" s="1075" t="s">
        <v>1428</v>
      </c>
      <c r="Y73" s="1074"/>
      <c r="Z73" s="1074"/>
      <c r="AA73" s="1074"/>
      <c r="AB73" s="1074"/>
      <c r="AC73" s="1353" t="s">
        <v>1482</v>
      </c>
      <c r="AD73" s="1343" t="s">
        <v>395</v>
      </c>
      <c r="AE73" s="1075" t="s">
        <v>1452</v>
      </c>
      <c r="AF73" s="1074"/>
      <c r="AG73" s="1074"/>
      <c r="AI73" s="1353" t="s">
        <v>1483</v>
      </c>
      <c r="AJ73" s="1343" t="s">
        <v>395</v>
      </c>
      <c r="AK73" s="1075" t="s">
        <v>1441</v>
      </c>
      <c r="AL73" s="1074"/>
      <c r="AM73" s="1074"/>
    </row>
    <row r="74" spans="1:39" s="1038" customFormat="1">
      <c r="A74" s="1354"/>
      <c r="B74" s="1343"/>
      <c r="C74" s="1077" t="s">
        <v>1447</v>
      </c>
      <c r="D74" s="1074"/>
      <c r="E74" s="1074"/>
      <c r="F74" s="1074"/>
      <c r="G74" s="1354"/>
      <c r="H74" s="1076"/>
      <c r="I74" s="1343"/>
      <c r="J74" s="1077" t="s">
        <v>1443</v>
      </c>
      <c r="K74" s="1074"/>
      <c r="L74" s="1074"/>
      <c r="M74" s="1074"/>
      <c r="N74" s="1074"/>
      <c r="O74" s="1357"/>
      <c r="P74" s="1358"/>
      <c r="Q74" s="1343"/>
      <c r="R74" s="1077" t="s">
        <v>1452</v>
      </c>
      <c r="S74" s="1074"/>
      <c r="T74" s="1074"/>
      <c r="U74" s="1074"/>
      <c r="V74" s="1354"/>
      <c r="W74" s="1343"/>
      <c r="X74" s="1077" t="s">
        <v>1447</v>
      </c>
      <c r="Y74" s="1074"/>
      <c r="Z74" s="1074"/>
      <c r="AA74" s="1074"/>
      <c r="AB74" s="1074"/>
      <c r="AC74" s="1354"/>
      <c r="AD74" s="1343"/>
      <c r="AE74" s="1077" t="s">
        <v>1484</v>
      </c>
      <c r="AF74" s="1074"/>
      <c r="AG74" s="1074"/>
      <c r="AI74" s="1354"/>
      <c r="AJ74" s="1343"/>
      <c r="AK74" s="1077" t="s">
        <v>1447</v>
      </c>
      <c r="AL74" s="1074"/>
      <c r="AM74" s="1074"/>
    </row>
    <row r="75" spans="1:39" s="1038" customFormat="1">
      <c r="A75" s="1343" t="str">
        <f>$E$31</f>
        <v>For year x+2</v>
      </c>
      <c r="B75" s="1343" t="s">
        <v>395</v>
      </c>
      <c r="C75" s="1078">
        <f>X12</f>
        <v>0</v>
      </c>
      <c r="D75" s="1343" t="s">
        <v>395</v>
      </c>
      <c r="E75" s="1350">
        <f>C75/C76</f>
        <v>0</v>
      </c>
      <c r="F75" s="1074"/>
      <c r="G75" s="1343" t="str">
        <f>$E$31</f>
        <v>For year x+2</v>
      </c>
      <c r="H75" s="4"/>
      <c r="I75" s="1343" t="s">
        <v>395</v>
      </c>
      <c r="J75" s="1078">
        <f>E9</f>
        <v>413749</v>
      </c>
      <c r="K75" s="1343" t="s">
        <v>395</v>
      </c>
      <c r="L75" s="1350" t="e">
        <f>J75/J76</f>
        <v>#DIV/0!</v>
      </c>
      <c r="M75" s="1074"/>
      <c r="N75" s="1074"/>
      <c r="O75" s="1363" t="str">
        <f>V53</f>
        <v>For year x+2</v>
      </c>
      <c r="P75" s="1363"/>
      <c r="Q75" s="1343" t="s">
        <v>395</v>
      </c>
      <c r="R75" s="1082">
        <f>E75/0.9</f>
        <v>0</v>
      </c>
      <c r="S75" s="1343" t="s">
        <v>395</v>
      </c>
      <c r="T75" s="1350">
        <f>R75/R76</f>
        <v>0</v>
      </c>
      <c r="U75" s="1074"/>
      <c r="V75" s="1343" t="str">
        <f>$E$31</f>
        <v>For year x+2</v>
      </c>
      <c r="W75" s="1343" t="s">
        <v>395</v>
      </c>
      <c r="X75" s="1078">
        <f>E9</f>
        <v>413749</v>
      </c>
      <c r="Y75" s="1343" t="s">
        <v>395</v>
      </c>
      <c r="Z75" s="1350">
        <f>X75/X76</f>
        <v>413.74900000000002</v>
      </c>
      <c r="AA75" s="1080"/>
      <c r="AB75" s="1074"/>
      <c r="AC75" s="1343" t="str">
        <f>X31</f>
        <v>For year x+2</v>
      </c>
      <c r="AD75" s="1343" t="s">
        <v>395</v>
      </c>
      <c r="AE75" s="1083">
        <f>X14</f>
        <v>300</v>
      </c>
      <c r="AF75" s="1343" t="s">
        <v>395</v>
      </c>
      <c r="AG75" s="1350">
        <f>AE75/AE76</f>
        <v>0.72507728115354952</v>
      </c>
      <c r="AI75" s="1343" t="str">
        <f>$E$31</f>
        <v>For year x+2</v>
      </c>
      <c r="AJ75" s="1343" t="s">
        <v>395</v>
      </c>
      <c r="AK75" s="1078">
        <f>E12</f>
        <v>671000.50080000004</v>
      </c>
      <c r="AL75" s="1343" t="s">
        <v>395</v>
      </c>
      <c r="AM75" s="1350">
        <f>AK75/AK76</f>
        <v>671.00050080000005</v>
      </c>
    </row>
    <row r="76" spans="1:39" s="1038" customFormat="1">
      <c r="A76" s="1343"/>
      <c r="B76" s="1343"/>
      <c r="C76" s="1079">
        <f>X13</f>
        <v>1000</v>
      </c>
      <c r="D76" s="1343"/>
      <c r="E76" s="1350"/>
      <c r="F76" s="1074"/>
      <c r="G76" s="1343"/>
      <c r="H76" s="4"/>
      <c r="I76" s="1343"/>
      <c r="J76" s="1079">
        <f>X12</f>
        <v>0</v>
      </c>
      <c r="K76" s="1343"/>
      <c r="L76" s="1350"/>
      <c r="M76" s="1074"/>
      <c r="N76" s="1074"/>
      <c r="O76" s="1352"/>
      <c r="P76" s="1352"/>
      <c r="Q76" s="1343"/>
      <c r="R76" s="1084">
        <f>X14</f>
        <v>300</v>
      </c>
      <c r="S76" s="1343"/>
      <c r="T76" s="1350"/>
      <c r="U76" s="1074"/>
      <c r="V76" s="1343"/>
      <c r="W76" s="1343"/>
      <c r="X76" s="1079">
        <f>X13</f>
        <v>1000</v>
      </c>
      <c r="Y76" s="1343"/>
      <c r="Z76" s="1350"/>
      <c r="AA76" s="1080"/>
      <c r="AB76" s="1074"/>
      <c r="AC76" s="1343"/>
      <c r="AD76" s="1343"/>
      <c r="AE76" s="1079">
        <f>Z75</f>
        <v>413.74900000000002</v>
      </c>
      <c r="AF76" s="1343"/>
      <c r="AG76" s="1350"/>
      <c r="AI76" s="1343"/>
      <c r="AJ76" s="1343"/>
      <c r="AK76" s="1079">
        <f>X13</f>
        <v>1000</v>
      </c>
      <c r="AL76" s="1343"/>
      <c r="AM76" s="1350"/>
    </row>
    <row r="77" spans="1:39" s="1038" customFormat="1">
      <c r="A77" s="1343" t="str">
        <f>$E$33</f>
        <v>For year X+1</v>
      </c>
      <c r="B77" s="1343" t="s">
        <v>395</v>
      </c>
      <c r="C77" s="1078">
        <f>Z12</f>
        <v>0</v>
      </c>
      <c r="D77" s="1343" t="s">
        <v>395</v>
      </c>
      <c r="E77" s="1350">
        <f>C77/C78</f>
        <v>0</v>
      </c>
      <c r="F77" s="1074"/>
      <c r="G77" s="1343" t="str">
        <f>$E$33</f>
        <v>For year X+1</v>
      </c>
      <c r="H77" s="4"/>
      <c r="I77" s="1343" t="s">
        <v>395</v>
      </c>
      <c r="J77" s="1078">
        <f>G9</f>
        <v>-1208.8500000000004</v>
      </c>
      <c r="K77" s="1343" t="s">
        <v>395</v>
      </c>
      <c r="L77" s="1350" t="e">
        <f>J77/J78</f>
        <v>#DIV/0!</v>
      </c>
      <c r="M77" s="1074"/>
      <c r="N77" s="1074"/>
      <c r="O77" s="1352"/>
      <c r="P77" s="1352"/>
      <c r="Q77" s="1352"/>
      <c r="R77" s="1085"/>
      <c r="S77" s="1352"/>
      <c r="T77" s="1364"/>
      <c r="U77" s="1074"/>
      <c r="V77" s="1343" t="str">
        <f>$E$33</f>
        <v>For year X+1</v>
      </c>
      <c r="W77" s="1343" t="s">
        <v>395</v>
      </c>
      <c r="X77" s="1078">
        <f>G9</f>
        <v>-1208.8500000000004</v>
      </c>
      <c r="Y77" s="1343" t="s">
        <v>395</v>
      </c>
      <c r="Z77" s="1350">
        <f>X77/X78</f>
        <v>-1.2088500000000004</v>
      </c>
      <c r="AA77" s="1080"/>
      <c r="AB77" s="1074"/>
      <c r="AC77" s="1352"/>
      <c r="AD77" s="1352"/>
      <c r="AE77" s="1085"/>
      <c r="AF77" s="1352"/>
      <c r="AG77" s="1365"/>
      <c r="AI77" s="1343" t="str">
        <f>$E$33</f>
        <v>For year X+1</v>
      </c>
      <c r="AJ77" s="1343" t="s">
        <v>395</v>
      </c>
      <c r="AK77" s="1078">
        <f>G12</f>
        <v>238861.75039999999</v>
      </c>
      <c r="AL77" s="1343" t="s">
        <v>395</v>
      </c>
      <c r="AM77" s="1350">
        <f>AK77/AK78</f>
        <v>238.86175039999998</v>
      </c>
    </row>
    <row r="78" spans="1:39" s="1038" customFormat="1">
      <c r="A78" s="1343"/>
      <c r="B78" s="1343"/>
      <c r="C78" s="1079">
        <f>Z13</f>
        <v>1000</v>
      </c>
      <c r="D78" s="1343"/>
      <c r="E78" s="1350"/>
      <c r="F78" s="1074"/>
      <c r="G78" s="1343"/>
      <c r="H78" s="4"/>
      <c r="I78" s="1343"/>
      <c r="J78" s="1079">
        <f>Z12</f>
        <v>0</v>
      </c>
      <c r="K78" s="1343"/>
      <c r="L78" s="1350"/>
      <c r="M78" s="1074"/>
      <c r="N78" s="1074"/>
      <c r="O78" s="1352"/>
      <c r="P78" s="1352"/>
      <c r="Q78" s="1352"/>
      <c r="R78" s="1085"/>
      <c r="S78" s="1352"/>
      <c r="T78" s="1364"/>
      <c r="U78" s="1074"/>
      <c r="V78" s="1343"/>
      <c r="W78" s="1343"/>
      <c r="X78" s="1079">
        <f>Z13</f>
        <v>1000</v>
      </c>
      <c r="Y78" s="1343"/>
      <c r="Z78" s="1350"/>
      <c r="AA78" s="1080"/>
      <c r="AB78" s="1074"/>
      <c r="AC78" s="1352"/>
      <c r="AD78" s="1352"/>
      <c r="AE78" s="1085"/>
      <c r="AF78" s="1352"/>
      <c r="AG78" s="1365"/>
      <c r="AI78" s="1343"/>
      <c r="AJ78" s="1343"/>
      <c r="AK78" s="1079">
        <f>Z13</f>
        <v>1000</v>
      </c>
      <c r="AL78" s="1343"/>
      <c r="AM78" s="1350"/>
    </row>
    <row r="79" spans="1:39" s="1038" customFormat="1">
      <c r="A79" s="1343" t="str">
        <f>$E$35</f>
        <v>For year X</v>
      </c>
      <c r="B79" s="1343" t="s">
        <v>395</v>
      </c>
      <c r="C79" s="1078">
        <f>AA12</f>
        <v>0</v>
      </c>
      <c r="D79" s="1343" t="s">
        <v>395</v>
      </c>
      <c r="E79" s="1350">
        <f>C79/C80</f>
        <v>0</v>
      </c>
      <c r="F79" s="1074"/>
      <c r="G79" s="1343" t="str">
        <f>$E$35</f>
        <v>For year X</v>
      </c>
      <c r="H79" s="4"/>
      <c r="I79" s="1343" t="s">
        <v>395</v>
      </c>
      <c r="J79" s="1078">
        <f>H9</f>
        <v>-64164</v>
      </c>
      <c r="K79" s="1343" t="s">
        <v>395</v>
      </c>
      <c r="L79" s="1350" t="e">
        <f>J79/J80</f>
        <v>#DIV/0!</v>
      </c>
      <c r="M79" s="1074"/>
      <c r="N79" s="1074"/>
      <c r="O79" s="1352"/>
      <c r="P79" s="1352"/>
      <c r="Q79" s="1352"/>
      <c r="R79" s="1085"/>
      <c r="S79" s="1352"/>
      <c r="T79" s="1364"/>
      <c r="U79" s="1074"/>
      <c r="V79" s="1343" t="str">
        <f>$E$35</f>
        <v>For year X</v>
      </c>
      <c r="W79" s="1343" t="s">
        <v>395</v>
      </c>
      <c r="X79" s="1078">
        <f>H9</f>
        <v>-64164</v>
      </c>
      <c r="Y79" s="1343" t="s">
        <v>395</v>
      </c>
      <c r="Z79" s="1350">
        <f>X79/X80</f>
        <v>-64.164000000000001</v>
      </c>
      <c r="AA79" s="1080"/>
      <c r="AB79" s="1074"/>
      <c r="AC79" s="1352"/>
      <c r="AD79" s="1352"/>
      <c r="AE79" s="1085"/>
      <c r="AF79" s="1352"/>
      <c r="AG79" s="1365"/>
      <c r="AI79" s="1343" t="str">
        <f>$E$35</f>
        <v>For year X</v>
      </c>
      <c r="AJ79" s="1343" t="s">
        <v>395</v>
      </c>
      <c r="AK79" s="1078">
        <f>H12</f>
        <v>276920</v>
      </c>
      <c r="AL79" s="1343" t="s">
        <v>395</v>
      </c>
      <c r="AM79" s="1350">
        <f>AK79/AK80</f>
        <v>276.92</v>
      </c>
    </row>
    <row r="80" spans="1:39" s="1038" customFormat="1">
      <c r="A80" s="1343"/>
      <c r="B80" s="1343"/>
      <c r="C80" s="1079">
        <f>AA13</f>
        <v>1000</v>
      </c>
      <c r="D80" s="1343"/>
      <c r="E80" s="1350"/>
      <c r="F80" s="1074"/>
      <c r="G80" s="1343"/>
      <c r="H80" s="4"/>
      <c r="I80" s="1343"/>
      <c r="J80" s="1079">
        <f>AA12</f>
        <v>0</v>
      </c>
      <c r="K80" s="1343"/>
      <c r="L80" s="1350"/>
      <c r="M80" s="1074"/>
      <c r="N80" s="1074"/>
      <c r="O80" s="1352"/>
      <c r="P80" s="1352"/>
      <c r="Q80" s="1352"/>
      <c r="R80" s="1085"/>
      <c r="S80" s="1352"/>
      <c r="T80" s="1364"/>
      <c r="U80" s="1074"/>
      <c r="V80" s="1343"/>
      <c r="W80" s="1343"/>
      <c r="X80" s="1079">
        <f>AA13</f>
        <v>1000</v>
      </c>
      <c r="Y80" s="1343"/>
      <c r="Z80" s="1350"/>
      <c r="AA80" s="1080"/>
      <c r="AB80" s="1074"/>
      <c r="AC80" s="1352"/>
      <c r="AD80" s="1352"/>
      <c r="AE80" s="1085"/>
      <c r="AF80" s="1352"/>
      <c r="AG80" s="1365"/>
      <c r="AI80" s="1343"/>
      <c r="AJ80" s="1343"/>
      <c r="AK80" s="1079">
        <f>AA13</f>
        <v>1000</v>
      </c>
      <c r="AL80" s="1343"/>
      <c r="AM80" s="1350"/>
    </row>
    <row r="81" s="1038" customFormat="1"/>
    <row r="82" s="1038" customFormat="1"/>
    <row r="83" s="1038" customFormat="1"/>
    <row r="84" s="1038" customFormat="1"/>
  </sheetData>
  <mergeCells count="343">
    <mergeCell ref="AL77:AL78"/>
    <mergeCell ref="T77:T78"/>
    <mergeCell ref="A79:A80"/>
    <mergeCell ref="B79:B80"/>
    <mergeCell ref="D79:D80"/>
    <mergeCell ref="E79:E80"/>
    <mergeCell ref="G79:G80"/>
    <mergeCell ref="I79:I80"/>
    <mergeCell ref="K79:K80"/>
    <mergeCell ref="L79:L80"/>
    <mergeCell ref="O79:P80"/>
    <mergeCell ref="V77:V78"/>
    <mergeCell ref="AJ79:AJ80"/>
    <mergeCell ref="AL79:AL80"/>
    <mergeCell ref="AM79:AM80"/>
    <mergeCell ref="Z79:Z80"/>
    <mergeCell ref="K77:K78"/>
    <mergeCell ref="L77:L78"/>
    <mergeCell ref="O77:P78"/>
    <mergeCell ref="Q77:Q78"/>
    <mergeCell ref="S77:S78"/>
    <mergeCell ref="Q79:Q80"/>
    <mergeCell ref="S79:S80"/>
    <mergeCell ref="T79:T80"/>
    <mergeCell ref="V79:V80"/>
    <mergeCell ref="AC79:AC80"/>
    <mergeCell ref="AD79:AD80"/>
    <mergeCell ref="AF79:AF80"/>
    <mergeCell ref="AG79:AG80"/>
    <mergeCell ref="AI79:AI80"/>
    <mergeCell ref="W79:W80"/>
    <mergeCell ref="Y79:Y80"/>
    <mergeCell ref="AM77:AM78"/>
    <mergeCell ref="AD77:AD78"/>
    <mergeCell ref="AF77:AF78"/>
    <mergeCell ref="AG77:AG78"/>
    <mergeCell ref="AI77:AI78"/>
    <mergeCell ref="AJ77:AJ78"/>
    <mergeCell ref="AL75:AL76"/>
    <mergeCell ref="AM75:AM76"/>
    <mergeCell ref="A77:A78"/>
    <mergeCell ref="B77:B78"/>
    <mergeCell ref="D77:D78"/>
    <mergeCell ref="E77:E78"/>
    <mergeCell ref="G77:G78"/>
    <mergeCell ref="W75:W76"/>
    <mergeCell ref="Y75:Y76"/>
    <mergeCell ref="Z75:Z76"/>
    <mergeCell ref="AC75:AC76"/>
    <mergeCell ref="AD75:AD76"/>
    <mergeCell ref="AF75:AF76"/>
    <mergeCell ref="L75:L76"/>
    <mergeCell ref="O75:P76"/>
    <mergeCell ref="Q75:Q76"/>
    <mergeCell ref="S75:S76"/>
    <mergeCell ref="T75:T76"/>
    <mergeCell ref="V75:V76"/>
    <mergeCell ref="W77:W78"/>
    <mergeCell ref="Y77:Y78"/>
    <mergeCell ref="Z77:Z78"/>
    <mergeCell ref="AC77:AC78"/>
    <mergeCell ref="I77:I78"/>
    <mergeCell ref="AI73:AI74"/>
    <mergeCell ref="AJ73:AJ74"/>
    <mergeCell ref="A75:A76"/>
    <mergeCell ref="B75:B76"/>
    <mergeCell ref="D75:D76"/>
    <mergeCell ref="E75:E76"/>
    <mergeCell ref="G75:G76"/>
    <mergeCell ref="I75:I76"/>
    <mergeCell ref="K75:K76"/>
    <mergeCell ref="AG75:AG76"/>
    <mergeCell ref="AI75:AI76"/>
    <mergeCell ref="AJ75:AJ76"/>
    <mergeCell ref="A71:AG71"/>
    <mergeCell ref="A73:A74"/>
    <mergeCell ref="B73:B74"/>
    <mergeCell ref="G73:G74"/>
    <mergeCell ref="I73:I74"/>
    <mergeCell ref="O73:P74"/>
    <mergeCell ref="Q73:Q74"/>
    <mergeCell ref="V73:V74"/>
    <mergeCell ref="W73:W74"/>
    <mergeCell ref="AC73:AC74"/>
    <mergeCell ref="AD73:AD74"/>
    <mergeCell ref="K68:K69"/>
    <mergeCell ref="L68:L69"/>
    <mergeCell ref="O68:P69"/>
    <mergeCell ref="Q68:Q69"/>
    <mergeCell ref="S68:S69"/>
    <mergeCell ref="T68:T69"/>
    <mergeCell ref="A68:A69"/>
    <mergeCell ref="B68:B69"/>
    <mergeCell ref="D68:D69"/>
    <mergeCell ref="E68:E69"/>
    <mergeCell ref="G68:G69"/>
    <mergeCell ref="I68:I69"/>
    <mergeCell ref="K66:K67"/>
    <mergeCell ref="L66:L67"/>
    <mergeCell ref="O66:P67"/>
    <mergeCell ref="Q66:Q67"/>
    <mergeCell ref="S66:S67"/>
    <mergeCell ref="T66:T67"/>
    <mergeCell ref="A66:A67"/>
    <mergeCell ref="B66:B67"/>
    <mergeCell ref="D66:D67"/>
    <mergeCell ref="E66:E67"/>
    <mergeCell ref="G66:G67"/>
    <mergeCell ref="I66:I67"/>
    <mergeCell ref="K64:K65"/>
    <mergeCell ref="L64:L65"/>
    <mergeCell ref="O64:P65"/>
    <mergeCell ref="Q64:Q65"/>
    <mergeCell ref="S64:S65"/>
    <mergeCell ref="T64:T65"/>
    <mergeCell ref="A64:A65"/>
    <mergeCell ref="B64:B65"/>
    <mergeCell ref="D64:D65"/>
    <mergeCell ref="E64:E65"/>
    <mergeCell ref="G64:G65"/>
    <mergeCell ref="I64:I65"/>
    <mergeCell ref="A62:A63"/>
    <mergeCell ref="B62:B63"/>
    <mergeCell ref="G62:G63"/>
    <mergeCell ref="I62:I63"/>
    <mergeCell ref="O62:P63"/>
    <mergeCell ref="Q62:Q63"/>
    <mergeCell ref="A60:T60"/>
    <mergeCell ref="AL57:AL58"/>
    <mergeCell ref="Z57:Z58"/>
    <mergeCell ref="AC57:AC58"/>
    <mergeCell ref="AD57:AD58"/>
    <mergeCell ref="AF57:AF58"/>
    <mergeCell ref="V57:V58"/>
    <mergeCell ref="AJ57:AJ58"/>
    <mergeCell ref="G57:G58"/>
    <mergeCell ref="I57:I58"/>
    <mergeCell ref="K57:K58"/>
    <mergeCell ref="L57:L58"/>
    <mergeCell ref="AM57:AM58"/>
    <mergeCell ref="AG57:AG58"/>
    <mergeCell ref="AI57:AI58"/>
    <mergeCell ref="A57:A58"/>
    <mergeCell ref="B57:B58"/>
    <mergeCell ref="D57:D58"/>
    <mergeCell ref="E57:E58"/>
    <mergeCell ref="W57:W58"/>
    <mergeCell ref="Y57:Y58"/>
    <mergeCell ref="AI55:AI56"/>
    <mergeCell ref="AJ55:AJ56"/>
    <mergeCell ref="AL55:AL56"/>
    <mergeCell ref="AM55:AM56"/>
    <mergeCell ref="V55:V56"/>
    <mergeCell ref="W55:W56"/>
    <mergeCell ref="Y55:Y56"/>
    <mergeCell ref="Z55:Z56"/>
    <mergeCell ref="AC55:AC56"/>
    <mergeCell ref="AD55:AD56"/>
    <mergeCell ref="AL53:AL54"/>
    <mergeCell ref="AM53:AM54"/>
    <mergeCell ref="A55:A56"/>
    <mergeCell ref="B55:B56"/>
    <mergeCell ref="D55:D56"/>
    <mergeCell ref="E55:E56"/>
    <mergeCell ref="G55:G56"/>
    <mergeCell ref="I55:I56"/>
    <mergeCell ref="K55:K56"/>
    <mergeCell ref="L55:L56"/>
    <mergeCell ref="AC53:AC54"/>
    <mergeCell ref="AD53:AD54"/>
    <mergeCell ref="AF53:AF54"/>
    <mergeCell ref="AG53:AG54"/>
    <mergeCell ref="AI53:AI54"/>
    <mergeCell ref="AJ53:AJ54"/>
    <mergeCell ref="K53:K54"/>
    <mergeCell ref="L53:L54"/>
    <mergeCell ref="V53:V54"/>
    <mergeCell ref="W53:W54"/>
    <mergeCell ref="Y53:Y54"/>
    <mergeCell ref="Z53:Z54"/>
    <mergeCell ref="AF55:AF56"/>
    <mergeCell ref="AG55:AG56"/>
    <mergeCell ref="AC51:AC52"/>
    <mergeCell ref="AD51:AD52"/>
    <mergeCell ref="AI51:AI52"/>
    <mergeCell ref="AJ51:AJ52"/>
    <mergeCell ref="A53:A54"/>
    <mergeCell ref="B53:B54"/>
    <mergeCell ref="D53:D54"/>
    <mergeCell ref="E53:E54"/>
    <mergeCell ref="G53:G54"/>
    <mergeCell ref="I53:I54"/>
    <mergeCell ref="A51:A52"/>
    <mergeCell ref="B51:B52"/>
    <mergeCell ref="G51:G52"/>
    <mergeCell ref="I51:I52"/>
    <mergeCell ref="V51:V52"/>
    <mergeCell ref="W51:W52"/>
    <mergeCell ref="A49:L49"/>
    <mergeCell ref="V49:AM49"/>
    <mergeCell ref="W46:W47"/>
    <mergeCell ref="Y46:Y47"/>
    <mergeCell ref="Z46:Z47"/>
    <mergeCell ref="AG46:AG47"/>
    <mergeCell ref="AI46:AI47"/>
    <mergeCell ref="AJ46:AJ47"/>
    <mergeCell ref="AL46:AL47"/>
    <mergeCell ref="AC46:AC47"/>
    <mergeCell ref="AD46:AD47"/>
    <mergeCell ref="AF46:AF47"/>
    <mergeCell ref="L46:L47"/>
    <mergeCell ref="O46:P47"/>
    <mergeCell ref="Q46:Q47"/>
    <mergeCell ref="S46:S47"/>
    <mergeCell ref="T46:T47"/>
    <mergeCell ref="V46:V47"/>
    <mergeCell ref="AJ44:AJ45"/>
    <mergeCell ref="AL44:AL45"/>
    <mergeCell ref="AM44:AM45"/>
    <mergeCell ref="A46:A47"/>
    <mergeCell ref="B46:B47"/>
    <mergeCell ref="D46:D47"/>
    <mergeCell ref="E46:E47"/>
    <mergeCell ref="G46:G47"/>
    <mergeCell ref="I46:I47"/>
    <mergeCell ref="K46:K47"/>
    <mergeCell ref="Z44:Z45"/>
    <mergeCell ref="AC44:AC45"/>
    <mergeCell ref="AD44:AD45"/>
    <mergeCell ref="AF44:AF45"/>
    <mergeCell ref="AG44:AG45"/>
    <mergeCell ref="AI44:AI45"/>
    <mergeCell ref="Q44:Q45"/>
    <mergeCell ref="S44:S45"/>
    <mergeCell ref="T44:T45"/>
    <mergeCell ref="V44:V45"/>
    <mergeCell ref="W44:W45"/>
    <mergeCell ref="Y44:Y45"/>
    <mergeCell ref="AM46:AM47"/>
    <mergeCell ref="AI40:AI41"/>
    <mergeCell ref="AJ40:AJ41"/>
    <mergeCell ref="AM42:AM43"/>
    <mergeCell ref="A44:A45"/>
    <mergeCell ref="B44:B45"/>
    <mergeCell ref="D44:D45"/>
    <mergeCell ref="E44:E45"/>
    <mergeCell ref="G44:G45"/>
    <mergeCell ref="I44:I45"/>
    <mergeCell ref="K44:K45"/>
    <mergeCell ref="L44:L45"/>
    <mergeCell ref="O44:P45"/>
    <mergeCell ref="AD42:AD43"/>
    <mergeCell ref="AF42:AF43"/>
    <mergeCell ref="AG42:AG43"/>
    <mergeCell ref="AI42:AI43"/>
    <mergeCell ref="AJ42:AJ43"/>
    <mergeCell ref="AL42:AL43"/>
    <mergeCell ref="T42:T43"/>
    <mergeCell ref="V42:V43"/>
    <mergeCell ref="W42:W43"/>
    <mergeCell ref="Y42:Y43"/>
    <mergeCell ref="Z42:Z43"/>
    <mergeCell ref="AC42:AC43"/>
    <mergeCell ref="AB35:AB36"/>
    <mergeCell ref="AD35:AD36"/>
    <mergeCell ref="AE35:AE36"/>
    <mergeCell ref="A40:A41"/>
    <mergeCell ref="B40:B41"/>
    <mergeCell ref="G40:G41"/>
    <mergeCell ref="I40:I41"/>
    <mergeCell ref="O40:P41"/>
    <mergeCell ref="Q40:Q41"/>
    <mergeCell ref="V40:V41"/>
    <mergeCell ref="W40:W41"/>
    <mergeCell ref="AC40:AC41"/>
    <mergeCell ref="AD40:AD41"/>
    <mergeCell ref="E35:E36"/>
    <mergeCell ref="F35:F36"/>
    <mergeCell ref="I35:I36"/>
    <mergeCell ref="J35:J36"/>
    <mergeCell ref="X35:Z36"/>
    <mergeCell ref="A42:A43"/>
    <mergeCell ref="B42:B43"/>
    <mergeCell ref="D42:D43"/>
    <mergeCell ref="E42:E43"/>
    <mergeCell ref="G42:G43"/>
    <mergeCell ref="L42:L43"/>
    <mergeCell ref="O42:P43"/>
    <mergeCell ref="Q42:Q43"/>
    <mergeCell ref="S42:S43"/>
    <mergeCell ref="I42:I43"/>
    <mergeCell ref="K42:K43"/>
    <mergeCell ref="AD31:AD32"/>
    <mergeCell ref="AE31:AE32"/>
    <mergeCell ref="AJ31:AJ32"/>
    <mergeCell ref="AK31:AK32"/>
    <mergeCell ref="B33:D34"/>
    <mergeCell ref="E33:E34"/>
    <mergeCell ref="F33:F34"/>
    <mergeCell ref="I33:I34"/>
    <mergeCell ref="J33:J34"/>
    <mergeCell ref="X33:Z34"/>
    <mergeCell ref="AB33:AB34"/>
    <mergeCell ref="AD33:AD34"/>
    <mergeCell ref="AE33:AE34"/>
    <mergeCell ref="AJ33:AJ34"/>
    <mergeCell ref="AK33:AK34"/>
    <mergeCell ref="AB29:AB30"/>
    <mergeCell ref="B31:D32"/>
    <mergeCell ref="E31:E32"/>
    <mergeCell ref="F31:F32"/>
    <mergeCell ref="I31:I32"/>
    <mergeCell ref="J31:J32"/>
    <mergeCell ref="X31:Z32"/>
    <mergeCell ref="AB31:AB32"/>
    <mergeCell ref="B29:D30"/>
    <mergeCell ref="E29:E30"/>
    <mergeCell ref="F29:F30"/>
    <mergeCell ref="X29:Z30"/>
    <mergeCell ref="M24:P25"/>
    <mergeCell ref="Q24:Q25"/>
    <mergeCell ref="S24:S25"/>
    <mergeCell ref="T24:T25"/>
    <mergeCell ref="AC20:AC21"/>
    <mergeCell ref="AD20:AD21"/>
    <mergeCell ref="M22:P23"/>
    <mergeCell ref="Q22:Q23"/>
    <mergeCell ref="S22:S23"/>
    <mergeCell ref="T22:T23"/>
    <mergeCell ref="V22:Y23"/>
    <mergeCell ref="Z22:Z23"/>
    <mergeCell ref="AC22:AC23"/>
    <mergeCell ref="AD22:AD23"/>
    <mergeCell ref="M18:P19"/>
    <mergeCell ref="Q18:Q19"/>
    <mergeCell ref="V18:Y19"/>
    <mergeCell ref="Z18:Z19"/>
    <mergeCell ref="M20:P21"/>
    <mergeCell ref="Q20:Q21"/>
    <mergeCell ref="S20:S21"/>
    <mergeCell ref="T20:T21"/>
    <mergeCell ref="V20:Y21"/>
    <mergeCell ref="Z20:Z21"/>
  </mergeCells>
  <phoneticPr fontId="0" type="noConversion"/>
  <pageMargins left="0.17" right="0.17" top="0.54" bottom="0.31" header="0.5" footer="0.5"/>
  <pageSetup paperSize="9" scale="49" orientation="landscape" horizontalDpi="4294967292" verticalDpi="4294967292"/>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249977111117893"/>
  </sheetPr>
  <dimension ref="A1:Q39"/>
  <sheetViews>
    <sheetView topLeftCell="A4" workbookViewId="0">
      <selection activeCell="B38" sqref="B38"/>
    </sheetView>
  </sheetViews>
  <sheetFormatPr defaultColWidth="8.85546875" defaultRowHeight="12.75"/>
  <cols>
    <col min="1" max="1" width="50.140625" bestFit="1" customWidth="1"/>
    <col min="2" max="2" width="19" customWidth="1"/>
    <col min="3" max="3" width="18.28515625" customWidth="1"/>
    <col min="4" max="4" width="16.7109375" customWidth="1"/>
    <col min="5" max="5" width="15.42578125" bestFit="1" customWidth="1"/>
    <col min="13" max="17" width="29.85546875" customWidth="1"/>
  </cols>
  <sheetData>
    <row r="1" spans="1:17" ht="18.75">
      <c r="A1" s="945" t="s">
        <v>1351</v>
      </c>
    </row>
    <row r="3" spans="1:17" s="13" customFormat="1" ht="15" customHeight="1">
      <c r="A3" s="1128" t="s">
        <v>156</v>
      </c>
      <c r="B3" s="7"/>
      <c r="C3" s="7"/>
      <c r="E3" s="139"/>
      <c r="F3" s="7"/>
      <c r="I3" s="7"/>
    </row>
    <row r="4" spans="1:17" ht="13.5" thickBot="1"/>
    <row r="5" spans="1:17" ht="28.5">
      <c r="A5" s="572" t="s">
        <v>136</v>
      </c>
      <c r="B5" s="571" t="s">
        <v>143</v>
      </c>
      <c r="C5" s="571" t="s">
        <v>146</v>
      </c>
      <c r="D5" s="571" t="s">
        <v>145</v>
      </c>
      <c r="E5" s="571" t="s">
        <v>144</v>
      </c>
    </row>
    <row r="6" spans="1:17" ht="15">
      <c r="A6" s="573"/>
      <c r="B6" s="576"/>
      <c r="C6" s="576"/>
      <c r="D6" s="579"/>
      <c r="E6" s="582"/>
    </row>
    <row r="7" spans="1:17" ht="30">
      <c r="A7" s="569" t="s">
        <v>138</v>
      </c>
      <c r="B7" s="576" t="s">
        <v>134</v>
      </c>
      <c r="C7" s="576" t="s">
        <v>147</v>
      </c>
      <c r="D7" s="579" t="s">
        <v>149</v>
      </c>
      <c r="E7" s="582" t="s">
        <v>150</v>
      </c>
    </row>
    <row r="8" spans="1:17">
      <c r="A8" s="567"/>
      <c r="B8" s="577"/>
      <c r="C8" s="577"/>
      <c r="D8" s="580"/>
      <c r="E8" s="583"/>
    </row>
    <row r="9" spans="1:17" ht="15">
      <c r="A9" s="574" t="s">
        <v>139</v>
      </c>
      <c r="B9" s="576" t="s">
        <v>135</v>
      </c>
      <c r="C9" s="576" t="s">
        <v>142</v>
      </c>
      <c r="D9" s="579" t="s">
        <v>141</v>
      </c>
      <c r="E9" s="582" t="s">
        <v>140</v>
      </c>
    </row>
    <row r="10" spans="1:17" ht="15">
      <c r="A10" s="574"/>
      <c r="B10" s="576"/>
      <c r="C10" s="576"/>
      <c r="D10" s="579"/>
      <c r="E10" s="582"/>
    </row>
    <row r="11" spans="1:17" ht="15">
      <c r="A11" s="574" t="s">
        <v>131</v>
      </c>
      <c r="B11" s="576" t="s">
        <v>134</v>
      </c>
      <c r="C11" s="576" t="s">
        <v>133</v>
      </c>
      <c r="D11" s="579" t="s">
        <v>132</v>
      </c>
      <c r="E11" s="582" t="s">
        <v>148</v>
      </c>
    </row>
    <row r="12" spans="1:17" ht="13.5" thickBot="1">
      <c r="A12" s="567"/>
      <c r="B12" s="577"/>
      <c r="C12" s="577"/>
      <c r="D12" s="580"/>
      <c r="E12" s="583"/>
    </row>
    <row r="13" spans="1:17" ht="45.75" thickBot="1">
      <c r="A13" s="575" t="s">
        <v>151</v>
      </c>
      <c r="B13" s="578" t="s">
        <v>1352</v>
      </c>
      <c r="C13" s="585">
        <v>450</v>
      </c>
      <c r="D13" s="581">
        <v>350</v>
      </c>
      <c r="E13" s="584">
        <v>200</v>
      </c>
    </row>
    <row r="15" spans="1:17" ht="13.5" thickBot="1">
      <c r="A15" s="13"/>
      <c r="B15" s="539"/>
      <c r="C15" s="539"/>
      <c r="D15" s="539"/>
      <c r="E15" s="539"/>
      <c r="N15" s="13"/>
      <c r="O15" s="13"/>
      <c r="P15" s="13"/>
      <c r="Q15" s="13"/>
    </row>
    <row r="16" spans="1:17">
      <c r="A16" s="993" t="s">
        <v>125</v>
      </c>
      <c r="B16" s="990" t="str">
        <f>'Ratios '!C3</f>
        <v>31/12/X</v>
      </c>
      <c r="C16" s="990" t="str">
        <f>'Ratios '!D3</f>
        <v>31/12/X+1</v>
      </c>
      <c r="D16" s="990" t="str">
        <f>'Ratios '!E3</f>
        <v>31/12/X+2</v>
      </c>
      <c r="E16" s="990" t="str">
        <f>'Ratios '!F3</f>
        <v>31/12/X+3</v>
      </c>
    </row>
    <row r="17" spans="1:17">
      <c r="A17" s="27"/>
      <c r="B17" s="27"/>
      <c r="C17" s="27"/>
      <c r="D17" s="27"/>
      <c r="E17" s="27"/>
    </row>
    <row r="18" spans="1:17">
      <c r="A18" s="998" t="s">
        <v>138</v>
      </c>
      <c r="B18" s="999">
        <v>4.0999999999999996</v>
      </c>
      <c r="C18" s="999">
        <v>3.6</v>
      </c>
      <c r="D18" s="999">
        <v>3.2</v>
      </c>
      <c r="E18" s="999">
        <v>2.6</v>
      </c>
    </row>
    <row r="19" spans="1:17">
      <c r="A19" s="27"/>
      <c r="B19" s="27"/>
      <c r="C19" s="27"/>
      <c r="D19" s="27"/>
      <c r="E19" s="27"/>
    </row>
    <row r="20" spans="1:17" ht="12.75" customHeight="1">
      <c r="A20" s="27" t="s">
        <v>126</v>
      </c>
      <c r="B20" s="991">
        <v>2.8</v>
      </c>
      <c r="C20" s="991">
        <v>3.3</v>
      </c>
      <c r="D20" s="991">
        <v>3.5</v>
      </c>
      <c r="E20" s="991">
        <v>4.3</v>
      </c>
    </row>
    <row r="21" spans="1:17">
      <c r="A21" s="27"/>
      <c r="B21" s="27"/>
      <c r="C21" s="27"/>
      <c r="D21" s="27"/>
      <c r="E21" s="27"/>
    </row>
    <row r="22" spans="1:17">
      <c r="A22" s="994" t="s">
        <v>137</v>
      </c>
      <c r="B22" s="991">
        <v>3.7</v>
      </c>
      <c r="C22" s="991">
        <v>3.6</v>
      </c>
      <c r="D22" s="991">
        <v>3.2</v>
      </c>
      <c r="E22" s="991">
        <v>2.4</v>
      </c>
    </row>
    <row r="23" spans="1:17">
      <c r="A23" s="535"/>
      <c r="B23" s="991"/>
      <c r="C23" s="991"/>
      <c r="D23" s="991"/>
      <c r="E23" s="991"/>
    </row>
    <row r="24" spans="1:17">
      <c r="A24" s="994" t="s">
        <v>128</v>
      </c>
      <c r="B24" s="991">
        <v>0.14705672635979813</v>
      </c>
      <c r="C24" s="991">
        <v>0.14705672635979813</v>
      </c>
      <c r="D24" s="991">
        <v>0.14705672635979813</v>
      </c>
      <c r="E24" s="991">
        <v>0.14705672635979813</v>
      </c>
    </row>
    <row r="25" spans="1:17" ht="13.5" thickBot="1">
      <c r="A25" s="28" t="s">
        <v>130</v>
      </c>
      <c r="B25" s="992"/>
      <c r="C25" s="992"/>
      <c r="D25" s="992"/>
      <c r="E25" s="992"/>
      <c r="N25" s="13"/>
      <c r="O25" s="13"/>
      <c r="P25" s="13"/>
      <c r="Q25" s="13"/>
    </row>
    <row r="26" spans="1:17" ht="13.5" thickBot="1">
      <c r="A26" s="568"/>
      <c r="B26" s="568"/>
      <c r="C26" s="568"/>
      <c r="D26" s="568"/>
      <c r="E26" s="568"/>
      <c r="N26" s="13"/>
      <c r="O26" s="13"/>
      <c r="P26" s="13"/>
      <c r="Q26" s="13"/>
    </row>
    <row r="27" spans="1:17">
      <c r="A27" s="993" t="s">
        <v>127</v>
      </c>
      <c r="B27" s="990" t="str">
        <f>+B16</f>
        <v>31/12/X</v>
      </c>
      <c r="C27" s="990" t="str">
        <f>+C16</f>
        <v>31/12/X+1</v>
      </c>
      <c r="D27" s="990" t="str">
        <f>+D16</f>
        <v>31/12/X+2</v>
      </c>
      <c r="E27" s="990" t="str">
        <f>+E16</f>
        <v>31/12/X+3</v>
      </c>
      <c r="N27" s="13"/>
      <c r="O27" s="13"/>
      <c r="P27" s="13"/>
      <c r="Q27" s="13"/>
    </row>
    <row r="28" spans="1:17">
      <c r="A28" s="27"/>
      <c r="B28" s="996"/>
      <c r="C28" s="996"/>
      <c r="D28" s="996"/>
      <c r="E28" s="996"/>
      <c r="N28" s="13"/>
      <c r="O28" s="13"/>
      <c r="P28" s="13"/>
      <c r="Q28" s="13"/>
    </row>
    <row r="29" spans="1:17">
      <c r="A29" s="994" t="s">
        <v>124</v>
      </c>
      <c r="B29" s="997">
        <f>'Balance Sheet'!C62/'Income Statement'!C25</f>
        <v>-7.0358093903293621</v>
      </c>
      <c r="C29" s="997">
        <f>'Balance Sheet'!D62/'Income Statement'!D25</f>
        <v>2.7753819568332494</v>
      </c>
      <c r="D29" s="997">
        <f>'Balance Sheet'!E62/'Income Statement'!E25</f>
        <v>0.22886132504804732</v>
      </c>
      <c r="E29" s="997">
        <f>'Balance Sheet'!F62/'Income Statement'!F25</f>
        <v>0.11299294416863082</v>
      </c>
    </row>
    <row r="30" spans="1:17">
      <c r="A30" s="27" t="s">
        <v>129</v>
      </c>
      <c r="B30" s="996">
        <f>B29/B18-1</f>
        <v>-2.71605107081204</v>
      </c>
      <c r="C30" s="996">
        <f>C29/C18-1</f>
        <v>-0.22906056754631965</v>
      </c>
      <c r="D30" s="996">
        <f>D29/D18-1</f>
        <v>-0.9284808359224852</v>
      </c>
      <c r="E30" s="996">
        <f>E29/E18-1</f>
        <v>-0.95654117531975735</v>
      </c>
    </row>
    <row r="31" spans="1:17">
      <c r="A31" s="27"/>
      <c r="B31" s="996"/>
      <c r="C31" s="996"/>
      <c r="D31" s="996"/>
      <c r="E31" s="996"/>
    </row>
    <row r="32" spans="1:17">
      <c r="A32" s="27" t="s">
        <v>126</v>
      </c>
      <c r="B32" s="997">
        <f>'Income Statement'!C25/+'Income Statement'!C48</f>
        <v>2.565623876303488</v>
      </c>
      <c r="C32" s="997">
        <f>'Income Statement'!D25/+'Income Statement'!D48</f>
        <v>-5.438318698718871</v>
      </c>
      <c r="D32" s="997">
        <f>'Income Statement'!E25/+'Income Statement'!E48</f>
        <v>-68.176872469635626</v>
      </c>
      <c r="E32" s="997">
        <f>'Income Statement'!F25/+'Income Statement'!F48</f>
        <v>-150.22015915119363</v>
      </c>
    </row>
    <row r="33" spans="1:5">
      <c r="A33" s="994" t="s">
        <v>129</v>
      </c>
      <c r="B33" s="996">
        <f>B32/B20-1</f>
        <v>-8.3705758463039959E-2</v>
      </c>
      <c r="C33" s="996">
        <f>C32/C20-1</f>
        <v>-2.6479753632481429</v>
      </c>
      <c r="D33" s="996">
        <f>D32/D20-1</f>
        <v>-20.479106419895892</v>
      </c>
      <c r="E33" s="996">
        <f>E32/E20-1</f>
        <v>-35.934920732835728</v>
      </c>
    </row>
    <row r="34" spans="1:5">
      <c r="A34" s="535"/>
      <c r="B34" s="996"/>
      <c r="C34" s="996"/>
      <c r="D34" s="996"/>
      <c r="E34" s="996"/>
    </row>
    <row r="35" spans="1:5">
      <c r="A35" s="994" t="s">
        <v>137</v>
      </c>
      <c r="B35" s="997">
        <f>'Balance Sheet'!C62/'Balance Sheet'!C53</f>
        <v>2.6478453504931694</v>
      </c>
      <c r="C35" s="997">
        <f>'Balance Sheet'!D62/'Balance Sheet'!D53</f>
        <v>2.1778078354888035</v>
      </c>
      <c r="D35" s="997">
        <f>'Balance Sheet'!E62/'Balance Sheet'!E53</f>
        <v>0.25252359729000129</v>
      </c>
      <c r="E35" s="997">
        <f>'Balance Sheet'!F62/'Balance Sheet'!F53</f>
        <v>7.9065183896780522E-2</v>
      </c>
    </row>
    <row r="36" spans="1:5">
      <c r="A36" s="27" t="s">
        <v>129</v>
      </c>
      <c r="B36" s="996">
        <f>B35/B22-1</f>
        <v>-0.28436612148833262</v>
      </c>
      <c r="C36" s="996">
        <f>C35/C22-1</f>
        <v>-0.39505337903088789</v>
      </c>
      <c r="D36" s="996">
        <f>D35/D22-1</f>
        <v>-0.92108637584687458</v>
      </c>
      <c r="E36" s="996">
        <f>E35/E22-1</f>
        <v>-0.96705617337634142</v>
      </c>
    </row>
    <row r="37" spans="1:5">
      <c r="A37" s="762"/>
      <c r="B37" s="996"/>
      <c r="C37" s="996"/>
      <c r="D37" s="996"/>
      <c r="E37" s="996"/>
    </row>
    <row r="38" spans="1:5">
      <c r="A38" s="27" t="s">
        <v>128</v>
      </c>
      <c r="B38" s="997">
        <f>('Balance Sheet'!C20+'Balance Sheet'!C23+'Balance Sheet'!C25+'Balance Sheet'!C26+'Balance Sheet'!C27)/'Income Statement'!C8</f>
        <v>1.0172894590072505E-2</v>
      </c>
      <c r="C38" s="997">
        <f>('Balance Sheet'!D20+'Balance Sheet'!D23+'Balance Sheet'!D25+'Balance Sheet'!D26+'Balance Sheet'!D27)/'Income Statement'!D8</f>
        <v>1.0164844350820879E-2</v>
      </c>
      <c r="D38" s="997">
        <f>('Balance Sheet'!E20+'Balance Sheet'!E23+'Balance Sheet'!E25+'Balance Sheet'!E26+'Balance Sheet'!E27)/'Income Statement'!E8</f>
        <v>1.0167069055100172E-2</v>
      </c>
      <c r="E38" s="997">
        <f>('Balance Sheet'!F20+'Balance Sheet'!F23+'Balance Sheet'!F25+'Balance Sheet'!F26+'Balance Sheet'!F27)/'Income Statement'!F8</f>
        <v>1.0166418216212917E-2</v>
      </c>
    </row>
    <row r="39" spans="1:5" ht="13.5" thickBot="1">
      <c r="A39" s="995" t="s">
        <v>129</v>
      </c>
      <c r="B39" s="992">
        <f>B38/B24-1</f>
        <v>-0.93082333027608088</v>
      </c>
      <c r="C39" s="992">
        <f>C38/C24-1</f>
        <v>-0.93087807268365996</v>
      </c>
      <c r="D39" s="992">
        <f>D38/D24-1</f>
        <v>-0.93086294447882112</v>
      </c>
      <c r="E39" s="992">
        <f>E38/E24-1</f>
        <v>-0.93086737024636923</v>
      </c>
    </row>
  </sheetData>
  <phoneticPr fontId="220"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249977111117893"/>
    <pageSetUpPr fitToPage="1"/>
  </sheetPr>
  <dimension ref="A1:F77"/>
  <sheetViews>
    <sheetView workbookViewId="0">
      <selection activeCell="B33" sqref="B33"/>
    </sheetView>
  </sheetViews>
  <sheetFormatPr defaultColWidth="9.140625" defaultRowHeight="12"/>
  <cols>
    <col min="1" max="1" width="41.85546875" style="545" customWidth="1"/>
    <col min="2" max="3" width="10" style="545" customWidth="1"/>
    <col min="4" max="5" width="9.140625" style="545" customWidth="1"/>
    <col min="6" max="6" width="12.42578125" style="545" bestFit="1" customWidth="1"/>
    <col min="7" max="16384" width="9.140625" style="545"/>
  </cols>
  <sheetData>
    <row r="1" spans="1:6" ht="18.75">
      <c r="A1" s="945" t="s">
        <v>120</v>
      </c>
    </row>
    <row r="2" spans="1:6" ht="12.75">
      <c r="C2" s="1000" t="s">
        <v>119</v>
      </c>
    </row>
    <row r="4" spans="1:6">
      <c r="A4" s="546"/>
      <c r="B4" s="547"/>
      <c r="C4" s="547"/>
      <c r="D4" s="548"/>
      <c r="E4" s="548"/>
    </row>
    <row r="5" spans="1:6" s="551" customFormat="1">
      <c r="A5" s="549"/>
      <c r="B5" s="550" t="str">
        <f>'Income Statement'!C3</f>
        <v>year X</v>
      </c>
      <c r="C5" s="550" t="str">
        <f>'Income Statement'!D3</f>
        <v>year X+1</v>
      </c>
      <c r="D5" s="550" t="str">
        <f>'Income Statement'!E3</f>
        <v>year X+2</v>
      </c>
      <c r="E5" s="550" t="str">
        <f>'Income Statement'!F3</f>
        <v>year X+3</v>
      </c>
      <c r="F5" s="550" t="str">
        <f>'Income Statement'!G3</f>
        <v>year X+4</v>
      </c>
    </row>
    <row r="6" spans="1:6">
      <c r="A6" s="552"/>
      <c r="B6" s="552"/>
      <c r="C6" s="552"/>
      <c r="D6" s="552"/>
      <c r="E6" s="552"/>
      <c r="F6" s="552"/>
    </row>
    <row r="7" spans="1:6">
      <c r="A7" s="552" t="str">
        <f>'Income Statement'!A5</f>
        <v>REVENUE FROM SALES AND SERVICES</v>
      </c>
      <c r="B7" s="553">
        <f>'Income Statement'!C5</f>
        <v>44825</v>
      </c>
      <c r="C7" s="553">
        <f>'Income Statement'!D5</f>
        <v>269163</v>
      </c>
      <c r="D7" s="553">
        <f>'Income Statement'!E5</f>
        <v>1220214</v>
      </c>
      <c r="E7" s="553">
        <f>'Income Statement'!F5</f>
        <v>1720665</v>
      </c>
      <c r="F7" s="553">
        <f>'Income Statement'!G5</f>
        <v>2756964</v>
      </c>
    </row>
    <row r="8" spans="1:6">
      <c r="A8" s="552" t="str">
        <f>'Income Statement'!A6</f>
        <v>CHANGE IN WORK IN PROGRESS AND FINISHED GOODS</v>
      </c>
      <c r="B8" s="553">
        <f>'Income Statement'!C6</f>
        <v>0</v>
      </c>
      <c r="C8" s="553">
        <f>'Income Statement'!D6</f>
        <v>0</v>
      </c>
      <c r="D8" s="553">
        <f>'Income Statement'!E6</f>
        <v>0</v>
      </c>
      <c r="E8" s="553">
        <f>'Income Statement'!F6</f>
        <v>0</v>
      </c>
      <c r="F8" s="553">
        <f>'Income Statement'!G6</f>
        <v>0</v>
      </c>
    </row>
    <row r="9" spans="1:6">
      <c r="A9" s="552" t="str">
        <f>'Income Statement'!A7</f>
        <v>OTHER OPERATING INCOME</v>
      </c>
      <c r="B9" s="553">
        <f>'Income Statement'!GC7</f>
        <v>0</v>
      </c>
      <c r="C9" s="553">
        <f>'Income Statement'!GD7</f>
        <v>0</v>
      </c>
      <c r="D9" s="553">
        <f>'Income Statement'!GE7</f>
        <v>0</v>
      </c>
      <c r="E9" s="553">
        <f>'Income Statement'!GF7</f>
        <v>0</v>
      </c>
      <c r="F9" s="553">
        <f>'Income Statement'!GG7</f>
        <v>0</v>
      </c>
    </row>
    <row r="10" spans="1:6">
      <c r="A10" s="552"/>
      <c r="B10" s="553"/>
      <c r="C10" s="553"/>
      <c r="D10" s="553"/>
      <c r="E10" s="553"/>
      <c r="F10" s="553"/>
    </row>
    <row r="11" spans="1:6" s="556" customFormat="1">
      <c r="A11" s="554" t="s">
        <v>265</v>
      </c>
      <c r="B11" s="555">
        <f>SUM(B7:B10)</f>
        <v>44825</v>
      </c>
      <c r="C11" s="555">
        <f>SUM(C7:C10)</f>
        <v>269163</v>
      </c>
      <c r="D11" s="555">
        <f>SUM(D7:D10)</f>
        <v>1220214</v>
      </c>
      <c r="E11" s="555">
        <f>SUM(E7:E10)</f>
        <v>1720665</v>
      </c>
      <c r="F11" s="555">
        <f>SUM(F7:F10)</f>
        <v>2756964</v>
      </c>
    </row>
    <row r="12" spans="1:6">
      <c r="A12" s="557"/>
      <c r="B12" s="553"/>
      <c r="C12" s="553"/>
      <c r="D12" s="553"/>
      <c r="E12" s="553"/>
      <c r="F12" s="553"/>
    </row>
    <row r="13" spans="1:6">
      <c r="A13" s="552" t="str">
        <f>'Income Statement'!A11</f>
        <v>PURCHASES OF GOODS</v>
      </c>
      <c r="B13" s="553">
        <f>'Income Statement'!C11</f>
        <v>0</v>
      </c>
      <c r="C13" s="553">
        <f>'Income Statement'!D11</f>
        <v>0</v>
      </c>
      <c r="D13" s="553">
        <f>'Income Statement'!E11</f>
        <v>0</v>
      </c>
      <c r="E13" s="553">
        <f>'Income Statement'!F11</f>
        <v>0</v>
      </c>
      <c r="F13" s="553">
        <f>'Income Statement'!G11</f>
        <v>0</v>
      </c>
    </row>
    <row r="14" spans="1:6">
      <c r="A14" s="552" t="str">
        <f>'Income Statement'!A12</f>
        <v>RAW MATERIALS</v>
      </c>
      <c r="B14" s="553">
        <f>'Income Statement'!C12</f>
        <v>-2737</v>
      </c>
      <c r="C14" s="553">
        <f>'Income Statement'!D12</f>
        <v>-16617</v>
      </c>
      <c r="D14" s="553">
        <f>'Income Statement'!E12</f>
        <v>-70813</v>
      </c>
      <c r="E14" s="553">
        <f>'Income Statement'!F12</f>
        <v>-100609</v>
      </c>
      <c r="F14" s="553">
        <f>'Income Statement'!G12</f>
        <v>-172970</v>
      </c>
    </row>
    <row r="15" spans="1:6">
      <c r="A15" s="552" t="str">
        <f>'Income Statement'!A13</f>
        <v>OTHER OPERATING EXPENSES</v>
      </c>
      <c r="B15" s="553">
        <f>'Income Statement'!C13</f>
        <v>-1872</v>
      </c>
      <c r="C15" s="553">
        <f>'Income Statement'!D13</f>
        <v>-11224</v>
      </c>
      <c r="D15" s="553">
        <f>'Income Statement'!E13</f>
        <v>-44795</v>
      </c>
      <c r="E15" s="553">
        <f>'Income Statement'!F13</f>
        <v>-68333</v>
      </c>
      <c r="F15" s="553">
        <f>'Income Statement'!G13</f>
        <v>-125553</v>
      </c>
    </row>
    <row r="16" spans="1:6">
      <c r="A16" s="552" t="str">
        <f>'Income Statement'!A19</f>
        <v>SERVICES</v>
      </c>
      <c r="B16" s="553">
        <f>'Income Statement'!C19</f>
        <v>-15000</v>
      </c>
      <c r="C16" s="553">
        <f>'Income Statement'!D19</f>
        <v>-15075</v>
      </c>
      <c r="D16" s="553">
        <f>'Income Statement'!E19</f>
        <v>-45225</v>
      </c>
      <c r="E16" s="553">
        <f>'Income Statement'!F19</f>
        <v>-60300</v>
      </c>
      <c r="F16" s="553">
        <f>'Income Statement'!G19</f>
        <v>-90450</v>
      </c>
    </row>
    <row r="17" spans="1:6">
      <c r="A17" s="552" t="str">
        <f>'Income Statement'!A20</f>
        <v>RENTS</v>
      </c>
      <c r="B17" s="553">
        <f>'Income Statement'!C20</f>
        <v>-40330</v>
      </c>
      <c r="C17" s="553">
        <f>'Income Statement'!D20</f>
        <v>-76392</v>
      </c>
      <c r="D17" s="553">
        <f>'Income Statement'!E20</f>
        <v>-273474</v>
      </c>
      <c r="E17" s="553">
        <f>'Income Statement'!F20</f>
        <v>-402898</v>
      </c>
      <c r="F17" s="553">
        <f>'Income Statement'!G20</f>
        <v>-540424</v>
      </c>
    </row>
    <row r="18" spans="1:6">
      <c r="A18" s="552" t="str">
        <f>'Income Statement'!A13</f>
        <v>OTHER OPERATING EXPENSES</v>
      </c>
      <c r="B18" s="553">
        <f>'Income Statement'!C13</f>
        <v>-1872</v>
      </c>
      <c r="C18" s="553">
        <f>'Income Statement'!D13</f>
        <v>-11224</v>
      </c>
      <c r="D18" s="553">
        <f>'Income Statement'!E13</f>
        <v>-44795</v>
      </c>
      <c r="E18" s="553">
        <f>'Income Statement'!F13</f>
        <v>-68333</v>
      </c>
      <c r="F18" s="553">
        <f>'Income Statement'!G13</f>
        <v>-125553</v>
      </c>
    </row>
    <row r="19" spans="1:6">
      <c r="A19" s="552" t="str">
        <f>'Income Statement'!A22</f>
        <v>OTHER NOT OPERATING EXPENSES</v>
      </c>
      <c r="B19" s="553">
        <f>'Income Statement'!C22</f>
        <v>0</v>
      </c>
      <c r="C19" s="553">
        <f>'Income Statement'!D22</f>
        <v>0</v>
      </c>
      <c r="D19" s="553">
        <f>'Income Statement'!E22</f>
        <v>0</v>
      </c>
      <c r="E19" s="553">
        <f>'Income Statement'!F22</f>
        <v>0</v>
      </c>
      <c r="F19" s="553">
        <f>'Income Statement'!G22</f>
        <v>0</v>
      </c>
    </row>
    <row r="20" spans="1:6" s="556" customFormat="1">
      <c r="A20" s="554" t="s">
        <v>266</v>
      </c>
      <c r="B20" s="555">
        <f>SUM(B13:B18)</f>
        <v>-61811</v>
      </c>
      <c r="C20" s="555">
        <f>SUM(C13:C18)</f>
        <v>-130532</v>
      </c>
      <c r="D20" s="555">
        <f>SUM(D13:D18)</f>
        <v>-479102</v>
      </c>
      <c r="E20" s="555">
        <f>SUM(E13:E18)</f>
        <v>-700473</v>
      </c>
      <c r="F20" s="555">
        <f>SUM(F13:F18)</f>
        <v>-1054950</v>
      </c>
    </row>
    <row r="21" spans="1:6" s="556" customFormat="1">
      <c r="A21" s="557"/>
      <c r="B21" s="558"/>
      <c r="C21" s="558"/>
      <c r="D21" s="558"/>
      <c r="E21" s="558"/>
      <c r="F21" s="558"/>
    </row>
    <row r="22" spans="1:6" s="556" customFormat="1">
      <c r="A22" s="554" t="s">
        <v>267</v>
      </c>
      <c r="B22" s="555">
        <f>+B11+B20</f>
        <v>-16986</v>
      </c>
      <c r="C22" s="555">
        <f>+C11+C20</f>
        <v>138631</v>
      </c>
      <c r="D22" s="555">
        <f>+D11+D20</f>
        <v>741112</v>
      </c>
      <c r="E22" s="555">
        <f>+E11+E20</f>
        <v>1020192</v>
      </c>
      <c r="F22" s="555">
        <f>+F11+F20</f>
        <v>1702014</v>
      </c>
    </row>
    <row r="23" spans="1:6">
      <c r="A23" s="552"/>
      <c r="B23" s="553"/>
      <c r="C23" s="553"/>
      <c r="D23" s="553"/>
      <c r="E23" s="553"/>
      <c r="F23" s="553"/>
    </row>
    <row r="24" spans="1:6">
      <c r="A24" s="552" t="str">
        <f>'Income Statement'!A21</f>
        <v>PERSONNEL COSTS</v>
      </c>
      <c r="B24" s="553">
        <f>'Income Statement'!C21</f>
        <v>-13426</v>
      </c>
      <c r="C24" s="553">
        <f>'Income Statement'!D21</f>
        <v>-91296</v>
      </c>
      <c r="D24" s="553">
        <f>'Income Statement'!E21</f>
        <v>-247037</v>
      </c>
      <c r="E24" s="553">
        <f>'Income Statement'!F21</f>
        <v>-352296</v>
      </c>
      <c r="F24" s="553">
        <f>'Income Statement'!G21</f>
        <v>-483333</v>
      </c>
    </row>
    <row r="25" spans="1:6" s="556" customFormat="1">
      <c r="A25" s="554" t="s">
        <v>268</v>
      </c>
      <c r="B25" s="555">
        <f>B24</f>
        <v>-13426</v>
      </c>
      <c r="C25" s="555">
        <f>C24</f>
        <v>-91296</v>
      </c>
      <c r="D25" s="555">
        <f>D24</f>
        <v>-247037</v>
      </c>
      <c r="E25" s="555">
        <f>E24</f>
        <v>-352296</v>
      </c>
      <c r="F25" s="555">
        <f>F24</f>
        <v>-483333</v>
      </c>
    </row>
    <row r="26" spans="1:6">
      <c r="A26" s="552"/>
      <c r="B26" s="553"/>
      <c r="C26" s="553"/>
      <c r="D26" s="553"/>
      <c r="E26" s="553"/>
      <c r="F26" s="553"/>
    </row>
    <row r="27" spans="1:6" s="556" customFormat="1">
      <c r="A27" s="559" t="s">
        <v>264</v>
      </c>
      <c r="B27" s="560">
        <f>+B11+B20+B25</f>
        <v>-30412</v>
      </c>
      <c r="C27" s="560">
        <f>+C11+C20+C25</f>
        <v>47335</v>
      </c>
      <c r="D27" s="560">
        <f>+D11+D20+D25</f>
        <v>494075</v>
      </c>
      <c r="E27" s="560">
        <f>+E11+E20+E25</f>
        <v>667896</v>
      </c>
      <c r="F27" s="560">
        <f>+F11+F20+F25</f>
        <v>1218681</v>
      </c>
    </row>
    <row r="30" spans="1:6">
      <c r="A30" s="549" t="s">
        <v>122</v>
      </c>
      <c r="B30" s="550" t="s">
        <v>728</v>
      </c>
      <c r="C30" s="550" t="s">
        <v>727</v>
      </c>
      <c r="D30" s="550" t="s">
        <v>1317</v>
      </c>
      <c r="E30" s="550" t="s">
        <v>1318</v>
      </c>
      <c r="F30" s="550" t="s">
        <v>372</v>
      </c>
    </row>
    <row r="31" spans="1:6">
      <c r="A31" s="552"/>
      <c r="B31" s="552"/>
      <c r="C31" s="552"/>
      <c r="D31" s="552"/>
      <c r="E31" s="552"/>
      <c r="F31" s="552"/>
    </row>
    <row r="32" spans="1:6">
      <c r="A32" s="552" t="s">
        <v>733</v>
      </c>
      <c r="B32" s="561">
        <f>B7/$B$11</f>
        <v>1</v>
      </c>
      <c r="C32" s="561">
        <f>C7/$C$11</f>
        <v>1</v>
      </c>
      <c r="D32" s="561">
        <f>D7/$D$11</f>
        <v>1</v>
      </c>
      <c r="E32" s="561">
        <f>E7/$E$11</f>
        <v>1</v>
      </c>
      <c r="F32" s="561">
        <f>F7/$F$11</f>
        <v>1</v>
      </c>
    </row>
    <row r="33" spans="1:6">
      <c r="A33" s="552" t="s">
        <v>776</v>
      </c>
      <c r="B33" s="561">
        <f>B8/$B$11</f>
        <v>0</v>
      </c>
      <c r="C33" s="561">
        <f>C8/$C$11</f>
        <v>0</v>
      </c>
      <c r="D33" s="561">
        <f>D8/$D$11</f>
        <v>0</v>
      </c>
      <c r="E33" s="561">
        <f>E8/$E$11</f>
        <v>0</v>
      </c>
      <c r="F33" s="561">
        <f>F8/$F$11</f>
        <v>0</v>
      </c>
    </row>
    <row r="34" spans="1:6">
      <c r="A34" s="552" t="s">
        <v>770</v>
      </c>
      <c r="B34" s="561">
        <f>B9/$B$11</f>
        <v>0</v>
      </c>
      <c r="C34" s="561">
        <f>C9/$C$11</f>
        <v>0</v>
      </c>
      <c r="D34" s="561">
        <f>D9/$D$11</f>
        <v>0</v>
      </c>
      <c r="E34" s="561">
        <f>E9/$E$11</f>
        <v>0</v>
      </c>
      <c r="F34" s="561">
        <f>F9/$F$11</f>
        <v>0</v>
      </c>
    </row>
    <row r="35" spans="1:6">
      <c r="A35" s="552"/>
      <c r="B35" s="561">
        <f>B10/$B$11</f>
        <v>0</v>
      </c>
      <c r="C35" s="561">
        <f>C10/$C$11</f>
        <v>0</v>
      </c>
      <c r="D35" s="561">
        <f>D10/$D$11</f>
        <v>0</v>
      </c>
      <c r="E35" s="561">
        <f>E10/$E$11</f>
        <v>0</v>
      </c>
      <c r="F35" s="561">
        <f>F10/$F$11</f>
        <v>0</v>
      </c>
    </row>
    <row r="36" spans="1:6">
      <c r="A36" s="554" t="s">
        <v>265</v>
      </c>
      <c r="B36" s="562">
        <f>B11/$B$11</f>
        <v>1</v>
      </c>
      <c r="C36" s="562">
        <f>C11/$C$11</f>
        <v>1</v>
      </c>
      <c r="D36" s="562">
        <f>D11/$D$11</f>
        <v>1</v>
      </c>
      <c r="E36" s="562">
        <f>E11/$E$11</f>
        <v>1</v>
      </c>
      <c r="F36" s="562">
        <f>F11/$F$11</f>
        <v>1</v>
      </c>
    </row>
    <row r="37" spans="1:6">
      <c r="A37" s="557"/>
      <c r="B37" s="561"/>
      <c r="C37" s="561"/>
      <c r="D37" s="561"/>
      <c r="E37" s="561"/>
      <c r="F37" s="561"/>
    </row>
    <row r="38" spans="1:6">
      <c r="A38" s="552" t="s">
        <v>771</v>
      </c>
      <c r="B38" s="561">
        <f t="shared" ref="B38:B45" si="0">B13/$B$11</f>
        <v>0</v>
      </c>
      <c r="C38" s="561">
        <f t="shared" ref="C38:C45" si="1">C13/$C$11</f>
        <v>0</v>
      </c>
      <c r="D38" s="561">
        <f t="shared" ref="D38:D45" si="2">D13/$D$11</f>
        <v>0</v>
      </c>
      <c r="E38" s="561">
        <f t="shared" ref="E38:E45" si="3">E13/$E$11</f>
        <v>0</v>
      </c>
      <c r="F38" s="561">
        <f t="shared" ref="F38:F45" si="4">F13/$F$11</f>
        <v>0</v>
      </c>
    </row>
    <row r="39" spans="1:6">
      <c r="A39" s="552" t="s">
        <v>1320</v>
      </c>
      <c r="B39" s="561">
        <f t="shared" si="0"/>
        <v>-6.1059676519799218E-2</v>
      </c>
      <c r="C39" s="561">
        <f t="shared" si="1"/>
        <v>-6.1735825503505308E-2</v>
      </c>
      <c r="D39" s="561">
        <f t="shared" si="2"/>
        <v>-5.8033263017798514E-2</v>
      </c>
      <c r="E39" s="561">
        <f t="shared" si="3"/>
        <v>-5.8470998131536354E-2</v>
      </c>
      <c r="F39" s="561">
        <f t="shared" si="4"/>
        <v>-6.2739303088469783E-2</v>
      </c>
    </row>
    <row r="40" spans="1:6">
      <c r="A40" s="552" t="s">
        <v>778</v>
      </c>
      <c r="B40" s="561">
        <f t="shared" si="0"/>
        <v>-4.1762409369771332E-2</v>
      </c>
      <c r="C40" s="561">
        <f t="shared" si="1"/>
        <v>-4.169963925205173E-2</v>
      </c>
      <c r="D40" s="561">
        <f t="shared" si="2"/>
        <v>-3.6710773683960356E-2</v>
      </c>
      <c r="E40" s="561">
        <f t="shared" si="3"/>
        <v>-3.9713134166150875E-2</v>
      </c>
      <c r="F40" s="561">
        <f t="shared" si="4"/>
        <v>-4.5540311734211983E-2</v>
      </c>
    </row>
    <row r="41" spans="1:6">
      <c r="A41" s="552" t="s">
        <v>732</v>
      </c>
      <c r="B41" s="561">
        <f t="shared" si="0"/>
        <v>-0.33463469046291133</v>
      </c>
      <c r="C41" s="561">
        <f t="shared" si="1"/>
        <v>-5.6006954893503193E-2</v>
      </c>
      <c r="D41" s="561">
        <f t="shared" si="2"/>
        <v>-3.7063170886418285E-2</v>
      </c>
      <c r="E41" s="561">
        <f t="shared" si="3"/>
        <v>-3.5044590318278106E-2</v>
      </c>
      <c r="F41" s="561">
        <f t="shared" si="4"/>
        <v>-3.2807827740949827E-2</v>
      </c>
    </row>
    <row r="42" spans="1:6">
      <c r="A42" s="552" t="s">
        <v>866</v>
      </c>
      <c r="B42" s="561">
        <f t="shared" si="0"/>
        <v>-0.8997211377579476</v>
      </c>
      <c r="C42" s="561">
        <f t="shared" si="1"/>
        <v>-0.28381315411107766</v>
      </c>
      <c r="D42" s="561">
        <f t="shared" si="2"/>
        <v>-0.22411970359297631</v>
      </c>
      <c r="E42" s="561">
        <f t="shared" si="3"/>
        <v>-0.23415249336738994</v>
      </c>
      <c r="F42" s="561">
        <f t="shared" si="4"/>
        <v>-0.19602142066417988</v>
      </c>
    </row>
    <row r="43" spans="1:6">
      <c r="A43" s="552" t="s">
        <v>778</v>
      </c>
      <c r="B43" s="561">
        <f t="shared" si="0"/>
        <v>-4.1762409369771332E-2</v>
      </c>
      <c r="C43" s="561">
        <f t="shared" si="1"/>
        <v>-4.169963925205173E-2</v>
      </c>
      <c r="D43" s="561">
        <f t="shared" si="2"/>
        <v>-3.6710773683960356E-2</v>
      </c>
      <c r="E43" s="561">
        <f t="shared" si="3"/>
        <v>-3.9713134166150875E-2</v>
      </c>
      <c r="F43" s="561">
        <f t="shared" si="4"/>
        <v>-4.5540311734211983E-2</v>
      </c>
    </row>
    <row r="44" spans="1:6">
      <c r="A44" s="552" t="s">
        <v>1323</v>
      </c>
      <c r="B44" s="561">
        <f t="shared" si="0"/>
        <v>0</v>
      </c>
      <c r="C44" s="561">
        <f t="shared" si="1"/>
        <v>0</v>
      </c>
      <c r="D44" s="561">
        <f t="shared" si="2"/>
        <v>0</v>
      </c>
      <c r="E44" s="561">
        <f t="shared" si="3"/>
        <v>0</v>
      </c>
      <c r="F44" s="561">
        <f t="shared" si="4"/>
        <v>0</v>
      </c>
    </row>
    <row r="45" spans="1:6">
      <c r="A45" s="554" t="s">
        <v>266</v>
      </c>
      <c r="B45" s="562">
        <f t="shared" si="0"/>
        <v>-1.3789403234802007</v>
      </c>
      <c r="C45" s="562">
        <f t="shared" si="1"/>
        <v>-0.48495521301218963</v>
      </c>
      <c r="D45" s="562">
        <f t="shared" si="2"/>
        <v>-0.3926376848651138</v>
      </c>
      <c r="E45" s="562">
        <f t="shared" si="3"/>
        <v>-0.40709435014950612</v>
      </c>
      <c r="F45" s="562">
        <f t="shared" si="4"/>
        <v>-0.38264917496202344</v>
      </c>
    </row>
    <row r="46" spans="1:6">
      <c r="A46" s="557"/>
      <c r="B46" s="561"/>
      <c r="C46" s="561"/>
      <c r="D46" s="561"/>
      <c r="E46" s="561"/>
      <c r="F46" s="561"/>
    </row>
    <row r="47" spans="1:6">
      <c r="A47" s="554" t="s">
        <v>267</v>
      </c>
      <c r="B47" s="562">
        <f>B22/$B$11</f>
        <v>-0.37894032348020079</v>
      </c>
      <c r="C47" s="562">
        <f>C22/$C$11</f>
        <v>0.51504478698781031</v>
      </c>
      <c r="D47" s="562">
        <f>D22/$D$11</f>
        <v>0.60736231513488614</v>
      </c>
      <c r="E47" s="562">
        <f>E22/$E$11</f>
        <v>0.59290564985049388</v>
      </c>
      <c r="F47" s="562">
        <f>F22/$F$11</f>
        <v>0.61735082503797656</v>
      </c>
    </row>
    <row r="48" spans="1:6">
      <c r="A48" s="552"/>
      <c r="B48" s="561"/>
      <c r="C48" s="561"/>
      <c r="D48" s="561"/>
      <c r="E48" s="561"/>
      <c r="F48" s="561"/>
    </row>
    <row r="49" spans="1:6">
      <c r="A49" s="552" t="s">
        <v>777</v>
      </c>
      <c r="B49" s="561">
        <f>B24/$B$11</f>
        <v>-0.29952035694366985</v>
      </c>
      <c r="C49" s="561">
        <f>C24/$C$11</f>
        <v>-0.33918480623265457</v>
      </c>
      <c r="D49" s="561">
        <f>D24/$D$11</f>
        <v>-0.20245383186883611</v>
      </c>
      <c r="E49" s="561">
        <f>E24/$E$11</f>
        <v>-0.20474409603263855</v>
      </c>
      <c r="F49" s="561">
        <f>F24/$F$11</f>
        <v>-0.17531349702063576</v>
      </c>
    </row>
    <row r="50" spans="1:6">
      <c r="A50" s="554" t="s">
        <v>268</v>
      </c>
      <c r="B50" s="562">
        <f>B25/$B$11</f>
        <v>-0.29952035694366985</v>
      </c>
      <c r="C50" s="562">
        <f>C25/$C$11</f>
        <v>-0.33918480623265457</v>
      </c>
      <c r="D50" s="562">
        <f>D25/$D$11</f>
        <v>-0.20245383186883611</v>
      </c>
      <c r="E50" s="562">
        <f>E25/$E$11</f>
        <v>-0.20474409603263855</v>
      </c>
      <c r="F50" s="562">
        <f>F25/$F$11</f>
        <v>-0.17531349702063576</v>
      </c>
    </row>
    <row r="51" spans="1:6">
      <c r="A51" s="552"/>
      <c r="B51" s="561"/>
      <c r="C51" s="561"/>
      <c r="D51" s="561"/>
      <c r="E51" s="561"/>
      <c r="F51" s="561"/>
    </row>
    <row r="52" spans="1:6">
      <c r="A52" s="559" t="s">
        <v>264</v>
      </c>
      <c r="B52" s="563">
        <f>B27/$B$11</f>
        <v>-0.67846068042387064</v>
      </c>
      <c r="C52" s="563">
        <f>C27/$C$11</f>
        <v>0.1758599807551558</v>
      </c>
      <c r="D52" s="563">
        <f>D27/$D$11</f>
        <v>0.40490848326605006</v>
      </c>
      <c r="E52" s="563">
        <f>E27/$E$11</f>
        <v>0.38816155381785533</v>
      </c>
      <c r="F52" s="563">
        <f>F27/$F$11</f>
        <v>0.4420373280173408</v>
      </c>
    </row>
    <row r="55" spans="1:6">
      <c r="A55" s="549" t="s">
        <v>123</v>
      </c>
      <c r="B55" s="550" t="s">
        <v>728</v>
      </c>
      <c r="C55" s="550" t="s">
        <v>727</v>
      </c>
      <c r="D55" s="550" t="s">
        <v>1317</v>
      </c>
      <c r="E55" s="550" t="s">
        <v>1318</v>
      </c>
      <c r="F55" s="550" t="s">
        <v>372</v>
      </c>
    </row>
    <row r="56" spans="1:6">
      <c r="A56" s="552"/>
      <c r="B56" s="564"/>
      <c r="C56" s="552"/>
      <c r="D56" s="552"/>
      <c r="E56" s="552"/>
      <c r="F56" s="552"/>
    </row>
    <row r="57" spans="1:6">
      <c r="A57" s="552" t="s">
        <v>733</v>
      </c>
      <c r="B57" s="565"/>
      <c r="C57" s="561">
        <f>IF(B7=0,0,(C7/B7-1))</f>
        <v>5.0047518126045736</v>
      </c>
      <c r="D57" s="561">
        <f t="shared" ref="D57:F59" si="5">IF(C7=0,0,(D7/C7-1))</f>
        <v>3.5333645411887966</v>
      </c>
      <c r="E57" s="561">
        <f t="shared" si="5"/>
        <v>0.4101337962029612</v>
      </c>
      <c r="F57" s="561">
        <f t="shared" si="5"/>
        <v>0.60226656554297331</v>
      </c>
    </row>
    <row r="58" spans="1:6">
      <c r="A58" s="552" t="s">
        <v>776</v>
      </c>
      <c r="B58" s="565"/>
      <c r="C58" s="561">
        <f>IF(B8=0,0,(C8/B8-1))</f>
        <v>0</v>
      </c>
      <c r="D58" s="561">
        <f t="shared" si="5"/>
        <v>0</v>
      </c>
      <c r="E58" s="561">
        <f t="shared" si="5"/>
        <v>0</v>
      </c>
      <c r="F58" s="561">
        <f t="shared" si="5"/>
        <v>0</v>
      </c>
    </row>
    <row r="59" spans="1:6">
      <c r="A59" s="552" t="s">
        <v>770</v>
      </c>
      <c r="B59" s="565"/>
      <c r="C59" s="561">
        <f>IF(B9=0,0,(C9/B9-1))</f>
        <v>0</v>
      </c>
      <c r="D59" s="561">
        <f t="shared" si="5"/>
        <v>0</v>
      </c>
      <c r="E59" s="561">
        <f t="shared" si="5"/>
        <v>0</v>
      </c>
      <c r="F59" s="561">
        <f t="shared" si="5"/>
        <v>0</v>
      </c>
    </row>
    <row r="60" spans="1:6">
      <c r="A60" s="552"/>
      <c r="B60" s="565"/>
      <c r="C60" s="561"/>
      <c r="D60" s="561"/>
      <c r="E60" s="561"/>
      <c r="F60" s="561"/>
    </row>
    <row r="61" spans="1:6">
      <c r="A61" s="554" t="s">
        <v>265</v>
      </c>
      <c r="B61" s="562"/>
      <c r="C61" s="562">
        <f>IF(B11=0,0,(C11/B11-1))</f>
        <v>5.0047518126045736</v>
      </c>
      <c r="D61" s="562">
        <f>IF(C11=0,0,(D11/C11-1))</f>
        <v>3.5333645411887966</v>
      </c>
      <c r="E61" s="562">
        <f>IF(D11=0,0,(E11/D11-1))</f>
        <v>0.4101337962029612</v>
      </c>
      <c r="F61" s="562">
        <f>IF(E11=0,0,(F11/E11-1))</f>
        <v>0.60226656554297331</v>
      </c>
    </row>
    <row r="62" spans="1:6">
      <c r="A62" s="557"/>
      <c r="B62" s="565"/>
      <c r="C62" s="561"/>
      <c r="D62" s="561"/>
      <c r="E62" s="561"/>
      <c r="F62" s="561"/>
    </row>
    <row r="63" spans="1:6">
      <c r="A63" s="552" t="s">
        <v>771</v>
      </c>
      <c r="B63" s="565"/>
      <c r="C63" s="561">
        <f t="shared" ref="C63:F68" si="6">IF(B13=0,0,(C13/B13-1))</f>
        <v>0</v>
      </c>
      <c r="D63" s="561">
        <f t="shared" si="6"/>
        <v>0</v>
      </c>
      <c r="E63" s="561">
        <f t="shared" si="6"/>
        <v>0</v>
      </c>
      <c r="F63" s="561">
        <f t="shared" si="6"/>
        <v>0</v>
      </c>
    </row>
    <row r="64" spans="1:6">
      <c r="A64" s="552" t="s">
        <v>1320</v>
      </c>
      <c r="B64" s="565"/>
      <c r="C64" s="561">
        <f t="shared" si="6"/>
        <v>5.0712458896602115</v>
      </c>
      <c r="D64" s="561">
        <f t="shared" si="6"/>
        <v>3.2614792080399591</v>
      </c>
      <c r="E64" s="561">
        <f t="shared" si="6"/>
        <v>0.42077019756259437</v>
      </c>
      <c r="F64" s="561">
        <f t="shared" si="6"/>
        <v>0.71922988997008219</v>
      </c>
    </row>
    <row r="65" spans="1:6">
      <c r="A65" s="552" t="s">
        <v>778</v>
      </c>
      <c r="B65" s="565"/>
      <c r="C65" s="561">
        <f t="shared" si="6"/>
        <v>4.9957264957264957</v>
      </c>
      <c r="D65" s="561">
        <f t="shared" si="6"/>
        <v>2.9910014255167496</v>
      </c>
      <c r="E65" s="561">
        <f t="shared" si="6"/>
        <v>0.5254604308516575</v>
      </c>
      <c r="F65" s="561">
        <f t="shared" si="6"/>
        <v>0.83736993838994334</v>
      </c>
    </row>
    <row r="66" spans="1:6">
      <c r="A66" s="552" t="s">
        <v>732</v>
      </c>
      <c r="B66" s="565"/>
      <c r="C66" s="561">
        <f t="shared" si="6"/>
        <v>4.9999999999998934E-3</v>
      </c>
      <c r="D66" s="561">
        <f t="shared" si="6"/>
        <v>2</v>
      </c>
      <c r="E66" s="561">
        <f t="shared" si="6"/>
        <v>0.33333333333333326</v>
      </c>
      <c r="F66" s="561">
        <f t="shared" si="6"/>
        <v>0.5</v>
      </c>
    </row>
    <row r="67" spans="1:6">
      <c r="A67" s="552" t="s">
        <v>866</v>
      </c>
      <c r="B67" s="565"/>
      <c r="C67" s="561">
        <f t="shared" si="6"/>
        <v>0.89417307215472364</v>
      </c>
      <c r="D67" s="561">
        <f t="shared" si="6"/>
        <v>2.5798774740810555</v>
      </c>
      <c r="E67" s="561">
        <f t="shared" si="6"/>
        <v>0.47325888384270542</v>
      </c>
      <c r="F67" s="561">
        <f t="shared" si="6"/>
        <v>0.34134197737392591</v>
      </c>
    </row>
    <row r="68" spans="1:6">
      <c r="A68" s="552" t="s">
        <v>778</v>
      </c>
      <c r="B68" s="565"/>
      <c r="C68" s="561">
        <f t="shared" si="6"/>
        <v>4.9957264957264957</v>
      </c>
      <c r="D68" s="561">
        <f t="shared" si="6"/>
        <v>2.9910014255167496</v>
      </c>
      <c r="E68" s="561">
        <f t="shared" si="6"/>
        <v>0.5254604308516575</v>
      </c>
      <c r="F68" s="561">
        <f t="shared" si="6"/>
        <v>0.83736993838994334</v>
      </c>
    </row>
    <row r="69" spans="1:6">
      <c r="A69" s="552" t="s">
        <v>1323</v>
      </c>
      <c r="B69" s="565"/>
      <c r="C69" s="561">
        <f t="shared" ref="C69:F70" si="7">IF(B19=0,0,(C19/B19-1))</f>
        <v>0</v>
      </c>
      <c r="D69" s="561">
        <f t="shared" si="7"/>
        <v>0</v>
      </c>
      <c r="E69" s="561">
        <f t="shared" si="7"/>
        <v>0</v>
      </c>
      <c r="F69" s="561">
        <f t="shared" si="7"/>
        <v>0</v>
      </c>
    </row>
    <row r="70" spans="1:6">
      <c r="A70" s="554" t="s">
        <v>266</v>
      </c>
      <c r="B70" s="562"/>
      <c r="C70" s="562">
        <f>IF(B20=0,0,(C20/B20-1))</f>
        <v>1.1117923994111081</v>
      </c>
      <c r="D70" s="562">
        <f t="shared" si="7"/>
        <v>2.6703796770140653</v>
      </c>
      <c r="E70" s="562">
        <f t="shared" si="7"/>
        <v>0.46205400937587404</v>
      </c>
      <c r="F70" s="562">
        <f t="shared" si="7"/>
        <v>0.50605376652633294</v>
      </c>
    </row>
    <row r="71" spans="1:6">
      <c r="A71" s="557"/>
      <c r="B71" s="565"/>
      <c r="C71" s="561"/>
      <c r="D71" s="561"/>
      <c r="E71" s="561"/>
      <c r="F71" s="561"/>
    </row>
    <row r="72" spans="1:6">
      <c r="A72" s="554" t="s">
        <v>267</v>
      </c>
      <c r="B72" s="562"/>
      <c r="C72" s="562">
        <f>IF(B22=0,0,(C22/B22-1))</f>
        <v>-9.1614859295890732</v>
      </c>
      <c r="D72" s="562">
        <f>IF(C22=0,0,(D22/C22-1))</f>
        <v>4.3459327278891449</v>
      </c>
      <c r="E72" s="562">
        <f>IF(D22=0,0,(E22/D22-1))</f>
        <v>0.37656926348514119</v>
      </c>
      <c r="F72" s="562">
        <f>IF(E22=0,0,(F22/E22-1))</f>
        <v>0.668327138421003</v>
      </c>
    </row>
    <row r="73" spans="1:6">
      <c r="A73" s="552"/>
      <c r="B73" s="565"/>
      <c r="C73" s="561"/>
      <c r="D73" s="561"/>
      <c r="E73" s="561"/>
      <c r="F73" s="561"/>
    </row>
    <row r="74" spans="1:6">
      <c r="A74" s="552" t="s">
        <v>777</v>
      </c>
      <c r="B74" s="565"/>
      <c r="C74" s="561"/>
      <c r="D74" s="561"/>
      <c r="E74" s="561"/>
      <c r="F74" s="561"/>
    </row>
    <row r="75" spans="1:6">
      <c r="A75" s="554" t="s">
        <v>268</v>
      </c>
      <c r="B75" s="562"/>
      <c r="C75" s="562">
        <f>IF(B25=0,0,(C25/B25-1))</f>
        <v>5.7999404141218527</v>
      </c>
      <c r="D75" s="562">
        <f>IF(C25=0,0,(D25/C25-1))</f>
        <v>1.705890729057133</v>
      </c>
      <c r="E75" s="562">
        <f>IF(D25=0,0,(E25/D25-1))</f>
        <v>0.42608597092743183</v>
      </c>
      <c r="F75" s="562">
        <f>IF(E25=0,0,(F25/E25-1))</f>
        <v>0.37195142720893792</v>
      </c>
    </row>
    <row r="76" spans="1:6">
      <c r="A76" s="552"/>
      <c r="B76" s="565"/>
      <c r="C76" s="561"/>
      <c r="D76" s="561"/>
      <c r="E76" s="561"/>
      <c r="F76" s="561"/>
    </row>
    <row r="77" spans="1:6">
      <c r="A77" s="559" t="s">
        <v>264</v>
      </c>
      <c r="B77" s="563"/>
      <c r="C77" s="563">
        <f>IF(B27=0,0,(C27/B27-1))</f>
        <v>-2.556457977114297</v>
      </c>
      <c r="D77" s="563">
        <f>IF(C27=0,0,(D27/C27-1))</f>
        <v>9.4378366958909901</v>
      </c>
      <c r="E77" s="563">
        <f>IF(D27=0,0,(E27/D27-1))</f>
        <v>0.35181095987451294</v>
      </c>
      <c r="F77" s="563">
        <f>IF(E27=0,0,(F27/E27-1))</f>
        <v>0.82465683280031632</v>
      </c>
    </row>
  </sheetData>
  <sheetProtection selectLockedCells="1" selectUnlockedCells="1"/>
  <phoneticPr fontId="68" type="noConversion"/>
  <hyperlinks>
    <hyperlink ref="C2" r:id="rId1" xr:uid="{00000000-0004-0000-0D00-000000000000}"/>
  </hyperlinks>
  <printOptions horizontalCentered="1" gridLines="1"/>
  <pageMargins left="0.24027777777777778" right="0.2" top="0.98402777777777772" bottom="0.98402777777777772" header="0.51180555555555551" footer="0.51180555555555551"/>
  <pageSetup paperSize="9" scale="75" firstPageNumber="0" orientation="portrait" horizontalDpi="300" verticalDpi="30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249977111117893"/>
  </sheetPr>
  <dimension ref="A1:H99"/>
  <sheetViews>
    <sheetView showGridLines="0" topLeftCell="A7" zoomScale="85" zoomScaleNormal="85" zoomScalePageLayoutView="85" workbookViewId="0">
      <selection activeCell="B23" sqref="B23"/>
    </sheetView>
  </sheetViews>
  <sheetFormatPr defaultColWidth="8.85546875" defaultRowHeight="12.75"/>
  <cols>
    <col min="1" max="1" width="31.42578125" style="13" customWidth="1"/>
    <col min="2" max="2" width="14.42578125" style="13" customWidth="1"/>
    <col min="3" max="3" width="13.140625" style="13" customWidth="1"/>
    <col min="4" max="4" width="14.28515625" style="13" customWidth="1"/>
    <col min="5" max="5" width="17.140625" style="13" customWidth="1"/>
    <col min="6" max="6" width="12.7109375" style="13" bestFit="1" customWidth="1"/>
    <col min="7" max="7" width="6.7109375" style="13" customWidth="1"/>
    <col min="8" max="8" width="78.7109375" style="521" customWidth="1"/>
    <col min="9" max="9" width="25.140625" style="13" customWidth="1"/>
    <col min="10" max="10" width="21.42578125" style="13" customWidth="1"/>
    <col min="11" max="11" width="11.85546875" style="13" customWidth="1"/>
    <col min="12" max="12" width="34.140625" style="13" customWidth="1"/>
    <col min="13" max="16384" width="8.85546875" style="13"/>
  </cols>
  <sheetData>
    <row r="1" spans="1:7" ht="18.75">
      <c r="A1" s="945" t="s">
        <v>1268</v>
      </c>
    </row>
    <row r="2" spans="1:7" ht="20.25">
      <c r="A2" s="522"/>
    </row>
    <row r="3" spans="1:7" ht="15">
      <c r="A3" s="587" t="s">
        <v>1554</v>
      </c>
      <c r="B3" s="587"/>
      <c r="C3" s="587"/>
      <c r="D3" s="587"/>
    </row>
    <row r="4" spans="1:7" ht="15">
      <c r="A4" s="587" t="s">
        <v>1260</v>
      </c>
      <c r="B4" s="587"/>
      <c r="C4" s="587"/>
      <c r="D4" s="587"/>
    </row>
    <row r="5" spans="1:7" ht="15">
      <c r="A5" s="587"/>
      <c r="B5" s="587"/>
      <c r="C5" s="587"/>
      <c r="D5" s="587"/>
    </row>
    <row r="6" spans="1:7" ht="15">
      <c r="A6" s="587"/>
      <c r="B6" s="587"/>
      <c r="C6" s="587"/>
      <c r="D6" s="587"/>
    </row>
    <row r="7" spans="1:7" ht="15">
      <c r="A7" s="587" t="s">
        <v>157</v>
      </c>
      <c r="B7" s="587"/>
      <c r="C7" s="587"/>
      <c r="D7" s="587"/>
    </row>
    <row r="8" spans="1:7" ht="15">
      <c r="A8" s="587"/>
      <c r="B8" s="587"/>
      <c r="C8" s="587"/>
      <c r="D8" s="587"/>
    </row>
    <row r="9" spans="1:7" ht="15">
      <c r="A9" s="587"/>
      <c r="B9" s="587"/>
      <c r="C9" s="587"/>
      <c r="D9" s="587"/>
    </row>
    <row r="10" spans="1:7" ht="15">
      <c r="A10" s="587" t="s">
        <v>158</v>
      </c>
      <c r="B10" s="587"/>
      <c r="C10" s="587"/>
      <c r="D10" s="587"/>
    </row>
    <row r="11" spans="1:7" ht="13.5" thickBot="1">
      <c r="A11" s="17"/>
    </row>
    <row r="12" spans="1:7" ht="15.75" thickBot="1">
      <c r="A12" s="630"/>
      <c r="B12" s="629" t="s">
        <v>728</v>
      </c>
      <c r="C12" s="631" t="s">
        <v>727</v>
      </c>
      <c r="D12" s="631" t="s">
        <v>1317</v>
      </c>
      <c r="E12" s="631" t="s">
        <v>1318</v>
      </c>
      <c r="F12" s="631" t="s">
        <v>372</v>
      </c>
      <c r="G12" s="334"/>
    </row>
    <row r="13" spans="1:7">
      <c r="A13" s="541"/>
      <c r="B13" s="627"/>
      <c r="C13" s="532"/>
      <c r="D13" s="532"/>
      <c r="E13" s="532"/>
      <c r="F13" s="532"/>
      <c r="G13" s="146"/>
    </row>
    <row r="14" spans="1:7">
      <c r="A14" s="541" t="s">
        <v>1270</v>
      </c>
      <c r="B14" s="541">
        <f>'Other input data'!C5</f>
        <v>60</v>
      </c>
      <c r="C14" s="541">
        <f>'Other input data'!D5</f>
        <v>60</v>
      </c>
      <c r="D14" s="541">
        <f>'Other input data'!E5</f>
        <v>60</v>
      </c>
      <c r="E14" s="541">
        <f>'Other input data'!F5</f>
        <v>60</v>
      </c>
      <c r="F14" s="541">
        <f>'Other input data'!G5</f>
        <v>60</v>
      </c>
      <c r="G14" s="146"/>
    </row>
    <row r="15" spans="1:7">
      <c r="A15" s="542" t="s">
        <v>361</v>
      </c>
      <c r="B15" s="1001">
        <f>B24/B23</f>
        <v>-0.10282208588957055</v>
      </c>
      <c r="C15" s="1001">
        <f>C24/C23</f>
        <v>-0.10343546475555704</v>
      </c>
      <c r="D15" s="1001">
        <f>D24/D23</f>
        <v>-9.4744036701758877E-2</v>
      </c>
      <c r="E15" s="1001">
        <f>E24/E23</f>
        <v>-9.8184132297687229E-2</v>
      </c>
      <c r="F15" s="1001">
        <f>F24/F23</f>
        <v>-0.10827961482268177</v>
      </c>
    </row>
    <row r="16" spans="1:7" ht="12" customHeight="1">
      <c r="A16" s="542" t="s">
        <v>881</v>
      </c>
      <c r="B16" s="1002">
        <f>'Income Statement'!C23+SUM('Income Statement'!C27:C30)</f>
        <v>-93256</v>
      </c>
      <c r="C16" s="1002">
        <f>'Income Statement'!D23+SUM('Income Statement'!D27:D30)</f>
        <v>-231763</v>
      </c>
      <c r="D16" s="1002">
        <f>'Income Statement'!E23+SUM('Income Statement'!E27:E30)</f>
        <v>-643736</v>
      </c>
      <c r="E16" s="1002">
        <f>'Income Statement'!F23+SUM('Income Statement'!F27:F30)</f>
        <v>-920294</v>
      </c>
      <c r="F16" s="1002">
        <f>'Income Statement'!G23+SUM('Income Statement'!G27:G30)</f>
        <v>-1256207</v>
      </c>
      <c r="G16" s="118"/>
    </row>
    <row r="17" spans="1:8">
      <c r="A17" s="542" t="s">
        <v>1267</v>
      </c>
      <c r="B17" s="1003">
        <f>B14-(B14*B15)</f>
        <v>66.169325153374231</v>
      </c>
      <c r="C17" s="1003">
        <f>C14-(C14*C15)</f>
        <v>66.206127885333416</v>
      </c>
      <c r="D17" s="1003">
        <f>D14-(D14*D15)</f>
        <v>65.684642202105536</v>
      </c>
      <c r="E17" s="1003">
        <f>E14-(E14*E15)</f>
        <v>65.891047937861231</v>
      </c>
      <c r="F17" s="1003">
        <f>F14-(F14*F15)</f>
        <v>66.496776889360902</v>
      </c>
    </row>
    <row r="18" spans="1:8" ht="13.5" thickBot="1">
      <c r="A18" s="28"/>
      <c r="B18" s="753"/>
      <c r="C18" s="753"/>
      <c r="D18" s="753"/>
      <c r="E18" s="753"/>
      <c r="F18" s="753"/>
    </row>
    <row r="19" spans="1:8">
      <c r="B19" s="1004"/>
      <c r="C19" s="1004"/>
      <c r="D19" s="1004"/>
      <c r="E19" s="1004"/>
      <c r="F19" s="1004"/>
    </row>
    <row r="20" spans="1:8" ht="13.5" thickBot="1">
      <c r="B20" s="1004"/>
      <c r="C20" s="1004"/>
      <c r="D20" s="1004"/>
      <c r="E20" s="1004"/>
      <c r="F20" s="1004"/>
    </row>
    <row r="21" spans="1:8" ht="15.75" thickBot="1">
      <c r="A21" s="630"/>
      <c r="B21" s="1005" t="s">
        <v>728</v>
      </c>
      <c r="C21" s="1005" t="s">
        <v>727</v>
      </c>
      <c r="D21" s="1005" t="s">
        <v>1317</v>
      </c>
      <c r="E21" s="1005" t="s">
        <v>1318</v>
      </c>
      <c r="F21" s="1005" t="s">
        <v>372</v>
      </c>
    </row>
    <row r="22" spans="1:8">
      <c r="A22" s="541"/>
      <c r="B22" s="541"/>
      <c r="C22" s="541"/>
      <c r="D22" s="541"/>
      <c r="E22" s="541"/>
      <c r="F22" s="541"/>
      <c r="G22" s="146"/>
    </row>
    <row r="23" spans="1:8">
      <c r="A23" s="543" t="s">
        <v>870</v>
      </c>
      <c r="B23" s="1006">
        <f>'Operating leverage'!B11</f>
        <v>44825</v>
      </c>
      <c r="C23" s="1006">
        <f>'Operating leverage'!C11</f>
        <v>269163</v>
      </c>
      <c r="D23" s="1006">
        <f>'Operating leverage'!D11</f>
        <v>1220214</v>
      </c>
      <c r="E23" s="1006">
        <f>'Operating leverage'!E11</f>
        <v>1720665</v>
      </c>
      <c r="F23" s="1006">
        <f>'Operating leverage'!F11</f>
        <v>2756964</v>
      </c>
      <c r="H23" s="13"/>
    </row>
    <row r="24" spans="1:8">
      <c r="A24" s="543" t="s">
        <v>874</v>
      </c>
      <c r="B24" s="1002">
        <f>'Income Statement'!C14</f>
        <v>-4609</v>
      </c>
      <c r="C24" s="1002">
        <f>'Income Statement'!D14</f>
        <v>-27841</v>
      </c>
      <c r="D24" s="1002">
        <f>'Income Statement'!E14</f>
        <v>-115608</v>
      </c>
      <c r="E24" s="1002">
        <f>'Income Statement'!F14</f>
        <v>-168942</v>
      </c>
      <c r="F24" s="1002">
        <f>'Income Statement'!G14</f>
        <v>-298523</v>
      </c>
      <c r="H24" s="13"/>
    </row>
    <row r="25" spans="1:8" ht="21.75" customHeight="1">
      <c r="A25" s="544" t="s">
        <v>871</v>
      </c>
      <c r="B25" s="1007">
        <f>B23+B24</f>
        <v>40216</v>
      </c>
      <c r="C25" s="1007">
        <f>C23+C24</f>
        <v>241322</v>
      </c>
      <c r="D25" s="1007">
        <f>D23+D24</f>
        <v>1104606</v>
      </c>
      <c r="E25" s="1007">
        <f>E23+E24</f>
        <v>1551723</v>
      </c>
      <c r="F25" s="1007">
        <f>F23+F24</f>
        <v>2458441</v>
      </c>
    </row>
    <row r="26" spans="1:8" ht="21.75" customHeight="1">
      <c r="A26" s="544"/>
      <c r="B26" s="1007"/>
      <c r="C26" s="1007"/>
      <c r="D26" s="1007"/>
      <c r="E26" s="1007"/>
      <c r="F26" s="1007"/>
      <c r="H26" s="13"/>
    </row>
    <row r="27" spans="1:8" ht="12" customHeight="1">
      <c r="A27" s="628" t="s">
        <v>876</v>
      </c>
      <c r="B27" s="1008">
        <f>'Operating leverage'!B17</f>
        <v>-0.7582202111613876</v>
      </c>
      <c r="C27" s="1008">
        <f>'Operating leverage'!C17</f>
        <v>25.245527774871849</v>
      </c>
      <c r="D27" s="1008">
        <f>'Operating leverage'!D17</f>
        <v>2.3967843426562805</v>
      </c>
      <c r="E27" s="1008">
        <f>'Operating leverage'!E17</f>
        <v>2.4574781962817673</v>
      </c>
      <c r="F27" s="1008">
        <f>'Operating leverage'!F17</f>
        <v>2.0448939224809815</v>
      </c>
    </row>
    <row r="28" spans="1:8" ht="12" customHeight="1">
      <c r="A28" s="544"/>
      <c r="B28" s="1009"/>
      <c r="C28" s="1009"/>
      <c r="D28" s="1009"/>
      <c r="E28" s="1009"/>
      <c r="F28" s="1009"/>
    </row>
    <row r="29" spans="1:8" ht="12" customHeight="1">
      <c r="A29" s="628" t="s">
        <v>1266</v>
      </c>
      <c r="B29" s="1010">
        <f>B16/B17</f>
        <v>-1409.353953419374</v>
      </c>
      <c r="C29" s="1010">
        <f>C16/C17</f>
        <v>-3500.6276216818633</v>
      </c>
      <c r="D29" s="1010">
        <f>D16/D17</f>
        <v>-9800.4035405914856</v>
      </c>
      <c r="E29" s="1010">
        <f>E16/E17</f>
        <v>-13966.904895303627</v>
      </c>
      <c r="F29" s="1010">
        <f>F16/F17</f>
        <v>-18891.246444772962</v>
      </c>
    </row>
    <row r="30" spans="1:8" ht="12.75" customHeight="1" thickBot="1">
      <c r="A30" s="28"/>
      <c r="B30" s="753"/>
      <c r="C30" s="753"/>
      <c r="D30" s="753"/>
      <c r="E30" s="753"/>
      <c r="F30" s="753"/>
    </row>
    <row r="31" spans="1:8" ht="12" customHeight="1"/>
    <row r="32" spans="1:8" ht="20.100000000000001" customHeight="1"/>
    <row r="33" spans="1:8" ht="12" customHeight="1">
      <c r="A33" s="1366" t="s">
        <v>1353</v>
      </c>
      <c r="B33" s="1366"/>
      <c r="C33" s="1366"/>
      <c r="D33" s="1366"/>
      <c r="E33" s="1366"/>
      <c r="F33" s="1366"/>
      <c r="H33" s="13"/>
    </row>
    <row r="34" spans="1:8" ht="12" customHeight="1">
      <c r="A34" s="1366"/>
      <c r="B34" s="1366"/>
      <c r="C34" s="1366"/>
      <c r="D34" s="1366"/>
      <c r="E34" s="1366"/>
      <c r="F34" s="1366"/>
      <c r="H34" s="13"/>
    </row>
    <row r="35" spans="1:8" ht="12" customHeight="1">
      <c r="A35" s="1366"/>
      <c r="B35" s="1366"/>
      <c r="C35" s="1366"/>
      <c r="D35" s="1366"/>
      <c r="E35" s="1366"/>
      <c r="F35" s="1366"/>
      <c r="H35" s="13"/>
    </row>
    <row r="36" spans="1:8" ht="12" customHeight="1">
      <c r="A36" s="1366"/>
      <c r="B36" s="1366"/>
      <c r="C36" s="1366"/>
      <c r="D36" s="1366"/>
      <c r="E36" s="1366"/>
      <c r="F36" s="1366"/>
    </row>
    <row r="37" spans="1:8" ht="12" customHeight="1">
      <c r="A37" s="1366"/>
      <c r="B37" s="1366"/>
      <c r="C37" s="1366"/>
      <c r="D37" s="1366"/>
      <c r="E37" s="1366"/>
      <c r="F37" s="1366"/>
    </row>
    <row r="38" spans="1:8" ht="45" customHeight="1">
      <c r="A38" s="1366" t="s">
        <v>931</v>
      </c>
      <c r="B38" s="1366"/>
      <c r="C38" s="1366"/>
      <c r="D38" s="1366"/>
      <c r="E38" s="1366"/>
      <c r="F38" s="1366"/>
    </row>
    <row r="39" spans="1:8" ht="12" customHeight="1">
      <c r="A39" s="1366" t="s">
        <v>916</v>
      </c>
      <c r="B39" s="1366"/>
      <c r="C39" s="1366"/>
      <c r="D39" s="1366"/>
      <c r="E39" s="1366"/>
      <c r="F39" s="1366"/>
    </row>
    <row r="40" spans="1:8" ht="12" customHeight="1">
      <c r="A40" s="1366"/>
      <c r="B40" s="1366"/>
      <c r="C40" s="1366"/>
      <c r="D40" s="1366"/>
      <c r="E40" s="1366"/>
      <c r="F40" s="1366"/>
    </row>
    <row r="41" spans="1:8" ht="12" customHeight="1">
      <c r="A41" s="1366"/>
      <c r="B41" s="1366"/>
      <c r="C41" s="1366"/>
      <c r="D41" s="1366"/>
      <c r="E41" s="1366"/>
      <c r="F41" s="1366"/>
    </row>
    <row r="42" spans="1:8" ht="12" customHeight="1">
      <c r="A42" s="1366"/>
      <c r="B42" s="1366"/>
      <c r="C42" s="1366"/>
      <c r="D42" s="1366"/>
      <c r="E42" s="1366"/>
      <c r="F42" s="1366"/>
    </row>
    <row r="43" spans="1:8" ht="12" customHeight="1">
      <c r="A43" s="1366"/>
      <c r="B43" s="1366"/>
      <c r="C43" s="1366"/>
      <c r="D43" s="1366"/>
      <c r="E43" s="1366"/>
      <c r="F43" s="1366"/>
    </row>
    <row r="44" spans="1:8" ht="12" customHeight="1">
      <c r="A44" s="1366"/>
      <c r="B44" s="1366"/>
      <c r="C44" s="1366"/>
      <c r="D44" s="1366"/>
      <c r="E44" s="1366"/>
      <c r="F44" s="1366"/>
    </row>
    <row r="60" spans="6:7">
      <c r="F60" s="537"/>
      <c r="G60" s="537"/>
    </row>
    <row r="66" spans="1:7">
      <c r="A66" s="17"/>
    </row>
    <row r="67" spans="1:7">
      <c r="F67" s="538"/>
      <c r="G67" s="538"/>
    </row>
    <row r="85" spans="3:4">
      <c r="C85" s="118"/>
    </row>
    <row r="90" spans="3:4">
      <c r="D90" s="539"/>
    </row>
    <row r="99" spans="3:3">
      <c r="C99" s="118"/>
    </row>
  </sheetData>
  <mergeCells count="3">
    <mergeCell ref="A33:F37"/>
    <mergeCell ref="A38:F38"/>
    <mergeCell ref="A39:F44"/>
  </mergeCells>
  <phoneticPr fontId="68" type="noConversion"/>
  <pageMargins left="0.70000000000000007" right="0.70000000000000007" top="0.75000000000000011" bottom="0.75000000000000011" header="0.30000000000000004" footer="0.30000000000000004"/>
  <pageSetup paperSize="9" scale="47" fitToHeight="2" orientation="portrait"/>
  <drawing r:id="rId1"/>
  <legacy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249977111117893"/>
    <pageSetUpPr fitToPage="1"/>
  </sheetPr>
  <dimension ref="A1:H41"/>
  <sheetViews>
    <sheetView workbookViewId="0">
      <selection activeCell="B11" sqref="B11"/>
    </sheetView>
  </sheetViews>
  <sheetFormatPr defaultColWidth="8.85546875" defaultRowHeight="12.75"/>
  <cols>
    <col min="1" max="1" width="62" style="13" bestFit="1" customWidth="1"/>
    <col min="2" max="6" width="16.42578125" style="13" customWidth="1"/>
    <col min="7" max="7" width="8.85546875" style="13"/>
    <col min="8" max="8" width="255" style="13" bestFit="1" customWidth="1"/>
    <col min="9" max="16384" width="8.85546875" style="13"/>
  </cols>
  <sheetData>
    <row r="1" spans="1:8" ht="18.75">
      <c r="A1" s="945" t="s">
        <v>877</v>
      </c>
    </row>
    <row r="2" spans="1:8">
      <c r="C2" s="13" t="s">
        <v>121</v>
      </c>
      <c r="H2" s="521"/>
    </row>
    <row r="3" spans="1:8">
      <c r="A3" s="17"/>
      <c r="H3" s="521"/>
    </row>
    <row r="4" spans="1:8" ht="13.5" thickBot="1">
      <c r="A4" s="570"/>
      <c r="H4" s="521"/>
    </row>
    <row r="5" spans="1:8" ht="15">
      <c r="A5" s="1011" t="s">
        <v>1359</v>
      </c>
      <c r="B5" s="529" t="s">
        <v>728</v>
      </c>
      <c r="C5" s="529" t="s">
        <v>727</v>
      </c>
      <c r="D5" s="529" t="s">
        <v>1317</v>
      </c>
      <c r="E5" s="529" t="s">
        <v>1318</v>
      </c>
      <c r="F5" s="529" t="s">
        <v>372</v>
      </c>
      <c r="H5" s="521"/>
    </row>
    <row r="6" spans="1:8">
      <c r="A6" s="27"/>
      <c r="B6" s="27"/>
      <c r="C6" s="27"/>
      <c r="D6" s="27"/>
      <c r="E6" s="535"/>
      <c r="F6" s="27"/>
      <c r="H6" s="521"/>
    </row>
    <row r="7" spans="1:8">
      <c r="A7" s="542" t="s">
        <v>879</v>
      </c>
      <c r="B7" s="530">
        <f>'Breakeven point'!B15</f>
        <v>-0.10282208588957055</v>
      </c>
      <c r="C7" s="530">
        <f>'Breakeven point'!C15</f>
        <v>-0.10343546475555704</v>
      </c>
      <c r="D7" s="530">
        <f>'Breakeven point'!D15</f>
        <v>-9.4744036701758877E-2</v>
      </c>
      <c r="E7" s="530">
        <f>'Breakeven point'!E15</f>
        <v>-9.8184132297687229E-2</v>
      </c>
      <c r="F7" s="530">
        <f>'Breakeven point'!F15</f>
        <v>-0.10827961482268177</v>
      </c>
      <c r="H7" s="521"/>
    </row>
    <row r="8" spans="1:8">
      <c r="A8" s="542" t="s">
        <v>881</v>
      </c>
      <c r="B8" s="531">
        <f>'Breakeven point'!B16</f>
        <v>-93256</v>
      </c>
      <c r="C8" s="531">
        <f>'Breakeven point'!C16</f>
        <v>-231763</v>
      </c>
      <c r="D8" s="531">
        <f>'Breakeven point'!D16</f>
        <v>-643736</v>
      </c>
      <c r="E8" s="531">
        <f>'Breakeven point'!E16</f>
        <v>-920294</v>
      </c>
      <c r="F8" s="531">
        <f>'Breakeven point'!F16</f>
        <v>-1256207</v>
      </c>
      <c r="H8" s="521"/>
    </row>
    <row r="9" spans="1:8">
      <c r="A9" s="541" t="s">
        <v>1270</v>
      </c>
      <c r="B9" s="532">
        <f>'Breakeven point'!B14</f>
        <v>60</v>
      </c>
      <c r="C9" s="532">
        <f>'Breakeven point'!C14</f>
        <v>60</v>
      </c>
      <c r="D9" s="532">
        <f>'Breakeven point'!D14</f>
        <v>60</v>
      </c>
      <c r="E9" s="532">
        <f>'Breakeven point'!E14</f>
        <v>60</v>
      </c>
      <c r="F9" s="532">
        <f>'Breakeven point'!F14</f>
        <v>60</v>
      </c>
      <c r="H9" s="521"/>
    </row>
    <row r="10" spans="1:8">
      <c r="A10" s="27"/>
      <c r="B10" s="27"/>
      <c r="C10" s="27"/>
      <c r="D10" s="27"/>
      <c r="E10" s="535"/>
      <c r="F10" s="27"/>
      <c r="H10" s="521"/>
    </row>
    <row r="11" spans="1:8" ht="15" customHeight="1">
      <c r="A11" s="543" t="s">
        <v>870</v>
      </c>
      <c r="B11" s="533">
        <f>'Income Statement'!C5</f>
        <v>44825</v>
      </c>
      <c r="C11" s="533">
        <f>'Income Statement'!D5</f>
        <v>269163</v>
      </c>
      <c r="D11" s="533">
        <f>'Income Statement'!E5</f>
        <v>1220214</v>
      </c>
      <c r="E11" s="533">
        <f>'Income Statement'!F5</f>
        <v>1720665</v>
      </c>
      <c r="F11" s="533">
        <f>'Income Statement'!G5</f>
        <v>2756964</v>
      </c>
      <c r="H11" s="521"/>
    </row>
    <row r="12" spans="1:8" ht="15" customHeight="1">
      <c r="A12" s="543" t="s">
        <v>874</v>
      </c>
      <c r="B12" s="531">
        <f>'Breakeven point'!B24</f>
        <v>-4609</v>
      </c>
      <c r="C12" s="531">
        <f>'Breakeven point'!C24</f>
        <v>-27841</v>
      </c>
      <c r="D12" s="531">
        <f>'Breakeven point'!D24</f>
        <v>-115608</v>
      </c>
      <c r="E12" s="531">
        <f>'Breakeven point'!E24</f>
        <v>-168942</v>
      </c>
      <c r="F12" s="531">
        <f>'Breakeven point'!F24</f>
        <v>-298523</v>
      </c>
      <c r="H12" s="521"/>
    </row>
    <row r="13" spans="1:8" ht="15" customHeight="1">
      <c r="A13" s="544" t="s">
        <v>871</v>
      </c>
      <c r="B13" s="534">
        <f>B11+B12</f>
        <v>40216</v>
      </c>
      <c r="C13" s="534">
        <f>C11+C12</f>
        <v>241322</v>
      </c>
      <c r="D13" s="534">
        <f>D11+D12</f>
        <v>1104606</v>
      </c>
      <c r="E13" s="534">
        <f>E11+E12</f>
        <v>1551723</v>
      </c>
      <c r="F13" s="534">
        <f>F11+F12</f>
        <v>2458441</v>
      </c>
      <c r="H13" s="521"/>
    </row>
    <row r="14" spans="1:8" ht="15" customHeight="1">
      <c r="A14" s="543" t="s">
        <v>875</v>
      </c>
      <c r="B14" s="531">
        <f>'Breakeven point'!B16</f>
        <v>-93256</v>
      </c>
      <c r="C14" s="531">
        <f>'Breakeven point'!C16</f>
        <v>-231763</v>
      </c>
      <c r="D14" s="531">
        <f>'Breakeven point'!D16</f>
        <v>-643736</v>
      </c>
      <c r="E14" s="531">
        <f>'Breakeven point'!E16</f>
        <v>-920294</v>
      </c>
      <c r="F14" s="531">
        <f>'Breakeven point'!F16</f>
        <v>-1256207</v>
      </c>
      <c r="H14" s="521"/>
    </row>
    <row r="15" spans="1:8">
      <c r="A15" s="758" t="s">
        <v>734</v>
      </c>
      <c r="B15" s="759">
        <f>B13+B14</f>
        <v>-53040</v>
      </c>
      <c r="C15" s="759">
        <f>C13+C14</f>
        <v>9559</v>
      </c>
      <c r="D15" s="759">
        <f>D13+D14</f>
        <v>460870</v>
      </c>
      <c r="E15" s="759">
        <f>E13+E14</f>
        <v>631429</v>
      </c>
      <c r="F15" s="759">
        <f>F13+F14</f>
        <v>1202234</v>
      </c>
      <c r="H15" s="521"/>
    </row>
    <row r="16" spans="1:8">
      <c r="A16" s="762"/>
      <c r="B16" s="763"/>
      <c r="C16" s="763"/>
      <c r="D16" s="763"/>
      <c r="E16" s="763"/>
      <c r="F16" s="763"/>
      <c r="H16" s="521"/>
    </row>
    <row r="17" spans="1:8" ht="15" customHeight="1" thickBot="1">
      <c r="A17" s="760" t="s">
        <v>876</v>
      </c>
      <c r="B17" s="761">
        <f>B13/B15</f>
        <v>-0.7582202111613876</v>
      </c>
      <c r="C17" s="761">
        <f>C13/C15</f>
        <v>25.245527774871849</v>
      </c>
      <c r="D17" s="761">
        <f>D13/D15</f>
        <v>2.3967843426562805</v>
      </c>
      <c r="E17" s="761">
        <f>E13/E15</f>
        <v>2.4574781962817673</v>
      </c>
      <c r="F17" s="761">
        <f>F13/F15</f>
        <v>2.0448939224809815</v>
      </c>
    </row>
    <row r="18" spans="1:8" ht="15" customHeight="1">
      <c r="C18" s="524"/>
      <c r="D18" s="524"/>
      <c r="E18" s="524"/>
      <c r="F18" s="524"/>
    </row>
    <row r="19" spans="1:8">
      <c r="B19" s="22"/>
      <c r="C19" s="525"/>
      <c r="D19" s="525"/>
      <c r="E19" s="525"/>
      <c r="H19" s="521"/>
    </row>
    <row r="20" spans="1:8" ht="15.75">
      <c r="A20" s="526" t="s">
        <v>21</v>
      </c>
      <c r="H20" s="521"/>
    </row>
    <row r="21" spans="1:8" ht="16.5" thickBot="1">
      <c r="A21" s="526"/>
      <c r="H21" s="521"/>
    </row>
    <row r="22" spans="1:8" ht="15">
      <c r="A22" s="540"/>
      <c r="B22" s="776"/>
      <c r="C22" s="529" t="s">
        <v>727</v>
      </c>
      <c r="D22" s="529" t="s">
        <v>1317</v>
      </c>
      <c r="E22" s="529" t="s">
        <v>1318</v>
      </c>
      <c r="F22" s="529" t="s">
        <v>372</v>
      </c>
      <c r="H22" s="521"/>
    </row>
    <row r="23" spans="1:8">
      <c r="A23" s="27"/>
      <c r="B23" s="567"/>
      <c r="C23" s="27"/>
      <c r="D23" s="27"/>
      <c r="E23" s="535"/>
      <c r="F23" s="27"/>
      <c r="H23" s="521"/>
    </row>
    <row r="24" spans="1:8">
      <c r="A24" s="1013" t="s">
        <v>1262</v>
      </c>
      <c r="B24" s="1014"/>
      <c r="C24" s="1015">
        <f>(C11-B11)/B11</f>
        <v>5.0047518126045736</v>
      </c>
      <c r="D24" s="1015">
        <f>(D11-C11)/C11</f>
        <v>3.5333645411887962</v>
      </c>
      <c r="E24" s="1015">
        <f>(E11-D11)/D11</f>
        <v>0.41013379620296114</v>
      </c>
      <c r="F24" s="1015">
        <f>(F11-E11)/E11</f>
        <v>0.6022665655429732</v>
      </c>
      <c r="H24" s="521"/>
    </row>
    <row r="25" spans="1:8">
      <c r="A25" s="541"/>
      <c r="B25" s="567"/>
      <c r="C25" s="764"/>
      <c r="D25" s="764"/>
      <c r="E25" s="764"/>
      <c r="F25" s="764"/>
      <c r="H25" s="521"/>
    </row>
    <row r="26" spans="1:8">
      <c r="A26" s="773" t="s">
        <v>870</v>
      </c>
      <c r="B26" s="1012"/>
      <c r="C26" s="765">
        <f>B11*(1+C24)</f>
        <v>269163</v>
      </c>
      <c r="D26" s="765">
        <f>C11*(1+D24)</f>
        <v>1220213.9999999998</v>
      </c>
      <c r="E26" s="765">
        <f>D11*(1+E24)</f>
        <v>1720665</v>
      </c>
      <c r="F26" s="765">
        <f>E11*(1+F24)</f>
        <v>2756964</v>
      </c>
      <c r="H26" s="521"/>
    </row>
    <row r="27" spans="1:8">
      <c r="A27" s="773"/>
      <c r="B27" s="1012"/>
      <c r="C27" s="765"/>
      <c r="D27" s="765"/>
      <c r="E27" s="765"/>
      <c r="F27" s="765"/>
      <c r="H27" s="521"/>
    </row>
    <row r="28" spans="1:8">
      <c r="A28" s="773" t="s">
        <v>874</v>
      </c>
      <c r="B28" s="1012"/>
      <c r="C28" s="766">
        <f>C7*C26</f>
        <v>-27841</v>
      </c>
      <c r="D28" s="766">
        <f>D7*D26</f>
        <v>-115607.99999999999</v>
      </c>
      <c r="E28" s="766">
        <f>E7*E26</f>
        <v>-168942</v>
      </c>
      <c r="F28" s="766">
        <f>F7*F26</f>
        <v>-298523</v>
      </c>
      <c r="H28" s="521"/>
    </row>
    <row r="29" spans="1:8">
      <c r="A29" s="762" t="s">
        <v>871</v>
      </c>
      <c r="B29" s="1012"/>
      <c r="C29" s="763">
        <f>C26+C28</f>
        <v>241322</v>
      </c>
      <c r="D29" s="763">
        <f>D26+D28</f>
        <v>1104605.9999999998</v>
      </c>
      <c r="E29" s="763">
        <f>E26+E28</f>
        <v>1551723</v>
      </c>
      <c r="F29" s="763">
        <f>F26+F28</f>
        <v>2458441</v>
      </c>
      <c r="H29" s="521"/>
    </row>
    <row r="30" spans="1:8">
      <c r="A30" s="762" t="s">
        <v>885</v>
      </c>
      <c r="B30" s="1012"/>
      <c r="C30" s="763"/>
      <c r="D30" s="763"/>
      <c r="E30" s="763"/>
      <c r="F30" s="763"/>
      <c r="H30" s="521"/>
    </row>
    <row r="31" spans="1:8">
      <c r="A31" s="14"/>
      <c r="B31" s="1012"/>
      <c r="C31" s="767">
        <f>(C29-B13)/B13</f>
        <v>5.0006465088521983</v>
      </c>
      <c r="D31" s="767">
        <f>(D29-C13)/C13</f>
        <v>3.5773116417069302</v>
      </c>
      <c r="E31" s="767">
        <f>(E29-D13)/D13</f>
        <v>0.40477509627867314</v>
      </c>
      <c r="F31" s="767">
        <f>(F29-E13)/E13</f>
        <v>0.58432980628630238</v>
      </c>
      <c r="H31" s="521"/>
    </row>
    <row r="32" spans="1:8">
      <c r="A32" s="773" t="s">
        <v>875</v>
      </c>
      <c r="B32" s="1012"/>
      <c r="C32" s="766">
        <f>C14</f>
        <v>-231763</v>
      </c>
      <c r="D32" s="766">
        <f>D14</f>
        <v>-643736</v>
      </c>
      <c r="E32" s="766">
        <f>E14</f>
        <v>-920294</v>
      </c>
      <c r="F32" s="766">
        <f>F14</f>
        <v>-1256207</v>
      </c>
      <c r="H32" s="521"/>
    </row>
    <row r="33" spans="1:8">
      <c r="A33" s="762" t="s">
        <v>734</v>
      </c>
      <c r="B33" s="1012"/>
      <c r="C33" s="763">
        <f>C29+C32</f>
        <v>9559</v>
      </c>
      <c r="D33" s="763">
        <f>D29+D32</f>
        <v>460869.99999999977</v>
      </c>
      <c r="E33" s="763">
        <f>E29+E32</f>
        <v>631429</v>
      </c>
      <c r="F33" s="763">
        <f>F29+F32</f>
        <v>1202234</v>
      </c>
      <c r="H33" s="521"/>
    </row>
    <row r="34" spans="1:8">
      <c r="A34" s="773" t="s">
        <v>882</v>
      </c>
      <c r="B34" s="1012"/>
      <c r="C34" s="768">
        <f>(C33-B15)/B15</f>
        <v>-1.1802224736048266</v>
      </c>
      <c r="D34" s="768">
        <f>(D33-C15)/C15</f>
        <v>47.213202217805183</v>
      </c>
      <c r="E34" s="768">
        <f>(E33-D15)/D15</f>
        <v>0.37008049992405667</v>
      </c>
      <c r="F34" s="768">
        <f>(F33-E15)/E15</f>
        <v>0.90398920543719086</v>
      </c>
      <c r="H34" s="521"/>
    </row>
    <row r="35" spans="1:8">
      <c r="A35" s="682"/>
      <c r="B35" s="567"/>
      <c r="C35" s="682"/>
      <c r="D35" s="682"/>
      <c r="E35" s="682"/>
      <c r="F35" s="769"/>
      <c r="G35" s="17"/>
      <c r="H35" s="521"/>
    </row>
    <row r="36" spans="1:8">
      <c r="A36" s="1016" t="s">
        <v>1564</v>
      </c>
      <c r="B36" s="1017"/>
      <c r="C36" s="1015">
        <f>C24</f>
        <v>5.0047518126045736</v>
      </c>
      <c r="D36" s="1015">
        <f>D24</f>
        <v>3.5333645411887962</v>
      </c>
      <c r="E36" s="1015">
        <f>E24</f>
        <v>0.41013379620296114</v>
      </c>
      <c r="F36" s="1015">
        <f>F24</f>
        <v>0.6022665655429732</v>
      </c>
      <c r="H36" s="521"/>
    </row>
    <row r="37" spans="1:8">
      <c r="A37" s="774" t="s">
        <v>1311</v>
      </c>
      <c r="B37" s="567"/>
      <c r="C37" s="770">
        <f>B17</f>
        <v>-0.7582202111613876</v>
      </c>
      <c r="D37" s="770">
        <f>C17</f>
        <v>25.245527774871849</v>
      </c>
      <c r="E37" s="770">
        <f>D17</f>
        <v>2.3967843426562805</v>
      </c>
      <c r="F37" s="770">
        <f>E17</f>
        <v>2.4574781962817673</v>
      </c>
      <c r="G37" s="520"/>
      <c r="H37" s="521"/>
    </row>
    <row r="38" spans="1:8">
      <c r="A38" s="762" t="s">
        <v>1565</v>
      </c>
      <c r="B38" s="567"/>
      <c r="C38" s="771">
        <f>C34</f>
        <v>-1.1802224736048266</v>
      </c>
      <c r="D38" s="771">
        <f>D34</f>
        <v>47.213202217805183</v>
      </c>
      <c r="E38" s="771">
        <f>E34</f>
        <v>0.37008049992405667</v>
      </c>
      <c r="F38" s="771">
        <f>F34</f>
        <v>0.90398920543719086</v>
      </c>
      <c r="G38" s="520"/>
    </row>
    <row r="39" spans="1:8" ht="15.75" thickBot="1">
      <c r="A39" s="775" t="s">
        <v>1566</v>
      </c>
      <c r="B39" s="690"/>
      <c r="C39" s="772">
        <f>C24*B17</f>
        <v>-3.794703976163377</v>
      </c>
      <c r="D39" s="772">
        <f>D24*C17</f>
        <v>89.201652663329085</v>
      </c>
      <c r="E39" s="772">
        <f>E24*D17</f>
        <v>0.98300226113343914</v>
      </c>
      <c r="F39" s="772">
        <f>F24*E17</f>
        <v>1.4800569531713605</v>
      </c>
      <c r="G39" s="520"/>
    </row>
    <row r="40" spans="1:8">
      <c r="A40" s="523"/>
      <c r="C40" s="520"/>
      <c r="D40" s="520"/>
      <c r="E40" s="520"/>
      <c r="F40" s="520"/>
      <c r="G40" s="520"/>
    </row>
    <row r="41" spans="1:8" s="527" customFormat="1">
      <c r="A41" s="13"/>
      <c r="H41" s="528"/>
    </row>
  </sheetData>
  <phoneticPr fontId="139" type="noConversion"/>
  <printOptions gridLines="1"/>
  <pageMargins left="0.75" right="0.75" top="1" bottom="3.25" header="0.5" footer="0.5"/>
  <pageSetup paperSize="9" scale="56"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249977111117893"/>
    <pageSetUpPr fitToPage="1"/>
  </sheetPr>
  <dimension ref="A1:G34"/>
  <sheetViews>
    <sheetView topLeftCell="A16" workbookViewId="0">
      <selection activeCell="C12" sqref="C12"/>
    </sheetView>
  </sheetViews>
  <sheetFormatPr defaultColWidth="11.42578125" defaultRowHeight="12.75"/>
  <cols>
    <col min="1" max="1" width="48.42578125" customWidth="1"/>
    <col min="2" max="3" width="13" customWidth="1"/>
    <col min="4" max="4" width="12.140625" customWidth="1"/>
    <col min="5" max="5" width="12.28515625" customWidth="1"/>
    <col min="6" max="6" width="13.28515625" customWidth="1"/>
    <col min="7" max="7" width="4.42578125" customWidth="1"/>
  </cols>
  <sheetData>
    <row r="1" spans="1:7" ht="18.75">
      <c r="A1" s="945" t="s">
        <v>1217</v>
      </c>
      <c r="B1" s="66"/>
    </row>
    <row r="3" spans="1:7">
      <c r="A3" s="21" t="s">
        <v>22</v>
      </c>
    </row>
    <row r="6" spans="1:7">
      <c r="A6" s="15" t="s">
        <v>1211</v>
      </c>
      <c r="B6" s="22"/>
    </row>
    <row r="7" spans="1:7" ht="16.5" thickBot="1">
      <c r="A7" s="137"/>
      <c r="B7" s="22"/>
    </row>
    <row r="8" spans="1:7" ht="15.75" thickBot="1">
      <c r="A8" s="630"/>
      <c r="B8" s="777" t="s">
        <v>728</v>
      </c>
      <c r="C8" s="777" t="s">
        <v>727</v>
      </c>
      <c r="D8" s="777" t="s">
        <v>1317</v>
      </c>
      <c r="E8" s="777" t="s">
        <v>1318</v>
      </c>
      <c r="F8" s="777" t="s">
        <v>372</v>
      </c>
    </row>
    <row r="9" spans="1:7" ht="15">
      <c r="A9" s="769"/>
      <c r="B9" s="664"/>
      <c r="C9" s="664"/>
      <c r="D9" s="664"/>
      <c r="E9" s="664"/>
      <c r="F9" s="664"/>
    </row>
    <row r="10" spans="1:7">
      <c r="A10" s="541" t="s">
        <v>1262</v>
      </c>
      <c r="B10" s="27"/>
      <c r="C10" s="764">
        <f>'Operating leverage'!C24</f>
        <v>5.0047518126045736</v>
      </c>
      <c r="D10" s="764">
        <f>'Operating leverage'!D24</f>
        <v>3.5333645411887962</v>
      </c>
      <c r="E10" s="764">
        <f>'Operating leverage'!E24</f>
        <v>0.41013379620296114</v>
      </c>
      <c r="F10" s="764">
        <f>'Operating leverage'!F24</f>
        <v>0.6022665655429732</v>
      </c>
    </row>
    <row r="11" spans="1:7">
      <c r="A11" s="542" t="s">
        <v>1219</v>
      </c>
      <c r="B11" s="27"/>
      <c r="C11" s="1019">
        <f>'Operating leverage'!C33</f>
        <v>9559</v>
      </c>
      <c r="D11" s="1019">
        <f>'Operating leverage'!D33</f>
        <v>460869.99999999977</v>
      </c>
      <c r="E11" s="1019">
        <f>'Operating leverage'!E33</f>
        <v>631429</v>
      </c>
      <c r="F11" s="1019">
        <f>'Operating leverage'!F33</f>
        <v>1202234</v>
      </c>
      <c r="G11" s="101"/>
    </row>
    <row r="12" spans="1:7" ht="25.5">
      <c r="A12" s="779" t="s">
        <v>1220</v>
      </c>
      <c r="B12" s="27"/>
      <c r="C12" s="1020">
        <f>SUM('Income Statement'!D27:D30)</f>
        <v>-49000</v>
      </c>
      <c r="D12" s="1020">
        <f>SUM('Income Statement'!E27:E30)</f>
        <v>-78000</v>
      </c>
      <c r="E12" s="1020">
        <f>SUM('Income Statement'!F27:F30)</f>
        <v>-104800</v>
      </c>
      <c r="F12" s="1020">
        <f>SUM('Income Statement'!G27:G30)</f>
        <v>-142000</v>
      </c>
    </row>
    <row r="13" spans="1:7">
      <c r="A13" s="27"/>
      <c r="B13" s="535"/>
      <c r="C13" s="796"/>
      <c r="D13" s="795"/>
      <c r="E13" s="796"/>
      <c r="F13" s="796"/>
      <c r="G13" s="103"/>
    </row>
    <row r="14" spans="1:7" ht="25.5">
      <c r="A14" s="780" t="s">
        <v>1225</v>
      </c>
      <c r="B14" s="27"/>
      <c r="C14" s="797"/>
      <c r="D14" s="797"/>
      <c r="E14" s="797"/>
      <c r="F14" s="797"/>
      <c r="G14" s="103"/>
    </row>
    <row r="15" spans="1:7" ht="13.5" thickBot="1">
      <c r="A15" s="781" t="s">
        <v>1224</v>
      </c>
      <c r="B15" s="782"/>
      <c r="C15" s="798">
        <f>C11+(-C12)</f>
        <v>58559</v>
      </c>
      <c r="D15" s="798">
        <f>D11+(-D12)</f>
        <v>538869.99999999977</v>
      </c>
      <c r="E15" s="798">
        <f>E11+(-E12)</f>
        <v>736229</v>
      </c>
      <c r="F15" s="798">
        <f>F11+(-F12)</f>
        <v>1344234</v>
      </c>
      <c r="G15" s="103"/>
    </row>
    <row r="16" spans="1:7" ht="13.5" thickBot="1">
      <c r="A16" s="13"/>
    </row>
    <row r="17" spans="1:6" s="14" customFormat="1" ht="15">
      <c r="A17" s="778"/>
      <c r="B17" s="777" t="s">
        <v>728</v>
      </c>
      <c r="C17" s="777" t="s">
        <v>727</v>
      </c>
      <c r="D17" s="777" t="s">
        <v>1317</v>
      </c>
      <c r="E17" s="777" t="s">
        <v>1318</v>
      </c>
      <c r="F17" s="777" t="s">
        <v>372</v>
      </c>
    </row>
    <row r="18" spans="1:6" ht="15">
      <c r="A18" s="692"/>
      <c r="B18" s="664"/>
      <c r="C18" s="664"/>
      <c r="D18" s="664"/>
      <c r="E18" s="664"/>
      <c r="F18" s="664"/>
    </row>
    <row r="19" spans="1:6" s="14" customFormat="1">
      <c r="A19" s="783" t="s">
        <v>734</v>
      </c>
      <c r="B19" s="783">
        <f>'Operating leverage'!B15</f>
        <v>-53040</v>
      </c>
      <c r="C19" s="783">
        <f>C11</f>
        <v>9559</v>
      </c>
      <c r="D19" s="783">
        <f>D11</f>
        <v>460869.99999999977</v>
      </c>
      <c r="E19" s="783">
        <f>E11</f>
        <v>631429</v>
      </c>
      <c r="F19" s="783">
        <f>F11</f>
        <v>1202234</v>
      </c>
    </row>
    <row r="20" spans="1:6" s="14" customFormat="1">
      <c r="A20" s="692" t="s">
        <v>1222</v>
      </c>
      <c r="B20" s="790">
        <f>-'Income Statement'!C27</f>
        <v>0</v>
      </c>
      <c r="C20" s="790">
        <f>-'Income Statement'!D27</f>
        <v>0</v>
      </c>
      <c r="D20" s="790">
        <f>-'Income Statement'!E27</f>
        <v>0</v>
      </c>
      <c r="E20" s="790">
        <f>-'Income Statement'!F27</f>
        <v>0</v>
      </c>
      <c r="F20" s="790">
        <f>-'Income Statement'!G27</f>
        <v>0</v>
      </c>
    </row>
    <row r="21" spans="1:6" s="14" customFormat="1">
      <c r="A21" s="692" t="s">
        <v>800</v>
      </c>
      <c r="B21" s="790">
        <f>-'Income Statement'!C28</f>
        <v>24500</v>
      </c>
      <c r="C21" s="790">
        <f>-'Income Statement'!D28</f>
        <v>49000</v>
      </c>
      <c r="D21" s="790">
        <f>-'Income Statement'!E28</f>
        <v>78000</v>
      </c>
      <c r="E21" s="790">
        <f>-'Income Statement'!F28</f>
        <v>104800</v>
      </c>
      <c r="F21" s="790">
        <f>-'Income Statement'!G28</f>
        <v>142000</v>
      </c>
    </row>
    <row r="22" spans="1:6" s="14" customFormat="1">
      <c r="A22" s="692" t="s">
        <v>1223</v>
      </c>
      <c r="B22" s="790">
        <f>-'Income Statement'!C30</f>
        <v>0</v>
      </c>
      <c r="C22" s="790">
        <f>-'Income Statement'!D30</f>
        <v>0</v>
      </c>
      <c r="D22" s="790">
        <f>-'Income Statement'!E30</f>
        <v>0</v>
      </c>
      <c r="E22" s="790">
        <f>-'Income Statement'!F30</f>
        <v>0</v>
      </c>
      <c r="F22" s="790">
        <f>-'Income Statement'!G30</f>
        <v>0</v>
      </c>
    </row>
    <row r="23" spans="1:6" s="14" customFormat="1">
      <c r="A23" s="783" t="s">
        <v>725</v>
      </c>
      <c r="B23" s="783">
        <f>SUM(B19:B22)</f>
        <v>-28540</v>
      </c>
      <c r="C23" s="783">
        <f>SUM(C19:C22)</f>
        <v>58559</v>
      </c>
      <c r="D23" s="783">
        <f>SUM(D19:D22)</f>
        <v>538869.99999999977</v>
      </c>
      <c r="E23" s="783">
        <f>SUM(E19:E22)</f>
        <v>736229</v>
      </c>
      <c r="F23" s="783">
        <f>SUM(F19:F22)</f>
        <v>1344234</v>
      </c>
    </row>
    <row r="24" spans="1:6" s="14" customFormat="1">
      <c r="A24" s="692" t="s">
        <v>820</v>
      </c>
      <c r="B24" s="790">
        <f>'Cash Flow Statement'!B41</f>
        <v>-56995</v>
      </c>
      <c r="C24" s="790">
        <f>'Cash Flow Statement'!C12</f>
        <v>34540</v>
      </c>
      <c r="D24" s="790">
        <f>'Cash Flow Statement'!D12</f>
        <v>69347</v>
      </c>
      <c r="E24" s="790">
        <f>'Cash Flow Statement'!E12</f>
        <v>-9520</v>
      </c>
      <c r="F24" s="790">
        <f>'Cash Flow Statement'!F12</f>
        <v>47777</v>
      </c>
    </row>
    <row r="25" spans="1:6" s="14" customFormat="1">
      <c r="A25" s="692" t="s">
        <v>918</v>
      </c>
      <c r="B25" s="790">
        <f>'Cash Flow Statement'!B13</f>
        <v>0</v>
      </c>
      <c r="C25" s="790">
        <f>'Cash Flow Statement'!C13</f>
        <v>0</v>
      </c>
      <c r="D25" s="790">
        <f>'Cash Flow Statement'!D13</f>
        <v>0</v>
      </c>
      <c r="E25" s="790">
        <f>'Cash Flow Statement'!E13</f>
        <v>0</v>
      </c>
      <c r="F25" s="790">
        <f>'Cash Flow Statement'!F13</f>
        <v>0</v>
      </c>
    </row>
    <row r="26" spans="1:6" s="14" customFormat="1">
      <c r="A26" s="784" t="s">
        <v>822</v>
      </c>
      <c r="B26" s="790">
        <f>'Cash Flow Statement'!B15</f>
        <v>-245069</v>
      </c>
      <c r="C26" s="790">
        <f>'Cash Flow Statement'!C15</f>
        <v>-352</v>
      </c>
      <c r="D26" s="790">
        <f>'Cash Flow Statement'!D15</f>
        <v>-147248</v>
      </c>
      <c r="E26" s="790">
        <f>'Cash Flow Statement'!E15</f>
        <v>-133993</v>
      </c>
      <c r="F26" s="790">
        <f>'Cash Flow Statement'!F15</f>
        <v>-188558</v>
      </c>
    </row>
    <row r="27" spans="1:6" s="14" customFormat="1">
      <c r="A27" s="785" t="s">
        <v>788</v>
      </c>
      <c r="B27" s="1018">
        <f>SUM(B23:B26)</f>
        <v>-330604</v>
      </c>
      <c r="C27" s="1018">
        <f>SUM(C23:C26)</f>
        <v>92747</v>
      </c>
      <c r="D27" s="1018">
        <f>SUM(D23:D26)</f>
        <v>460968.99999999977</v>
      </c>
      <c r="E27" s="1018">
        <f>SUM(E23:E26)</f>
        <v>592716</v>
      </c>
      <c r="F27" s="1018">
        <f>SUM(F23:F26)</f>
        <v>1203453</v>
      </c>
    </row>
    <row r="28" spans="1:6" s="14" customFormat="1">
      <c r="A28" s="692" t="s">
        <v>1567</v>
      </c>
      <c r="B28" s="692"/>
      <c r="C28" s="791">
        <f>(C27-B27)/B27</f>
        <v>-1.2805380455166906</v>
      </c>
      <c r="D28" s="791">
        <f>(D27-C27)/C27</f>
        <v>3.9701769329466159</v>
      </c>
      <c r="E28" s="791">
        <f>(E27-D27)/D27</f>
        <v>0.28580446841327789</v>
      </c>
      <c r="F28" s="791">
        <f>(F27-E27)/E27</f>
        <v>1.0304041058449578</v>
      </c>
    </row>
    <row r="29" spans="1:6" s="14" customFormat="1">
      <c r="A29" s="692"/>
      <c r="B29" s="692"/>
      <c r="C29" s="692"/>
      <c r="D29" s="692"/>
      <c r="E29" s="692"/>
      <c r="F29" s="692"/>
    </row>
    <row r="30" spans="1:6" s="14" customFormat="1">
      <c r="A30" s="786" t="s">
        <v>919</v>
      </c>
      <c r="B30" s="692"/>
      <c r="C30" s="792">
        <f>C10</f>
        <v>5.0047518126045736</v>
      </c>
      <c r="D30" s="792">
        <f>D10</f>
        <v>3.5333645411887962</v>
      </c>
      <c r="E30" s="792">
        <f>E10</f>
        <v>0.41013379620296114</v>
      </c>
      <c r="F30" s="792">
        <f>F10</f>
        <v>0.6022665655429732</v>
      </c>
    </row>
    <row r="31" spans="1:6" s="14" customFormat="1">
      <c r="A31" s="787" t="s">
        <v>1312</v>
      </c>
      <c r="B31" s="692"/>
      <c r="C31" s="793">
        <f>'Operating leverage'!B17</f>
        <v>-0.7582202111613876</v>
      </c>
      <c r="D31" s="793">
        <f>'Operating leverage'!C17</f>
        <v>25.245527774871849</v>
      </c>
      <c r="E31" s="793">
        <f>'Operating leverage'!D17</f>
        <v>2.3967843426562805</v>
      </c>
      <c r="F31" s="793">
        <f>'Operating leverage'!E17</f>
        <v>2.4574781962817673</v>
      </c>
    </row>
    <row r="32" spans="1:6" s="14" customFormat="1">
      <c r="A32" s="788" t="s">
        <v>1568</v>
      </c>
      <c r="B32" s="692"/>
      <c r="C32" s="794">
        <f>C28</f>
        <v>-1.2805380455166906</v>
      </c>
      <c r="D32" s="794">
        <f>D28</f>
        <v>3.9701769329466159</v>
      </c>
      <c r="E32" s="794">
        <f>E28</f>
        <v>0.28580446841327789</v>
      </c>
      <c r="F32" s="794">
        <f>F28</f>
        <v>1.0304041058449578</v>
      </c>
    </row>
    <row r="33" spans="1:6" s="14" customFormat="1" ht="13.5" thickBot="1">
      <c r="A33" s="789"/>
      <c r="B33" s="789"/>
      <c r="C33" s="789"/>
      <c r="D33" s="789"/>
      <c r="E33" s="789"/>
      <c r="F33" s="789"/>
    </row>
    <row r="34" spans="1:6" s="14" customFormat="1"/>
  </sheetData>
  <phoneticPr fontId="68" type="noConversion"/>
  <pageMargins left="0.75" right="0.75" top="1" bottom="1" header="0.5" footer="0.5"/>
  <pageSetup paperSize="9" scale="67"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V187"/>
  <sheetViews>
    <sheetView showGridLines="0" workbookViewId="0">
      <selection activeCell="C1" sqref="C1"/>
    </sheetView>
  </sheetViews>
  <sheetFormatPr defaultColWidth="8.85546875" defaultRowHeight="12.75"/>
  <cols>
    <col min="1" max="1" width="17.140625" customWidth="1"/>
    <col min="2" max="3" width="16.28515625" customWidth="1"/>
    <col min="5" max="5" width="14.85546875" customWidth="1"/>
    <col min="6" max="6" width="11.140625" customWidth="1"/>
    <col min="7" max="7" width="21.28515625" customWidth="1"/>
    <col min="8" max="8" width="17.140625" customWidth="1"/>
    <col min="9" max="9" width="11.140625" customWidth="1"/>
    <col min="10" max="10" width="10.7109375" customWidth="1"/>
    <col min="12" max="12" width="14" customWidth="1"/>
    <col min="13" max="13" width="18.28515625" bestFit="1" customWidth="1"/>
    <col min="18" max="18" width="17.42578125" bestFit="1" customWidth="1"/>
    <col min="38" max="38" width="16" bestFit="1" customWidth="1"/>
    <col min="39" max="39" width="23.42578125" customWidth="1"/>
    <col min="40" max="40" width="18.42578125" customWidth="1"/>
  </cols>
  <sheetData>
    <row r="1" spans="1:11" ht="18.75">
      <c r="A1" s="945" t="s">
        <v>1360</v>
      </c>
    </row>
    <row r="2" spans="1:11">
      <c r="F2" t="s">
        <v>1363</v>
      </c>
    </row>
    <row r="3" spans="1:11">
      <c r="A3" s="51" t="s">
        <v>263</v>
      </c>
    </row>
    <row r="4" spans="1:11" ht="14.25">
      <c r="A4" s="1372" t="s">
        <v>560</v>
      </c>
      <c r="B4" s="1373" t="s">
        <v>1129</v>
      </c>
      <c r="C4" s="1373"/>
      <c r="D4" s="1373"/>
      <c r="E4" s="1373"/>
      <c r="G4" s="1372" t="s">
        <v>560</v>
      </c>
      <c r="H4" s="1367" t="s">
        <v>1129</v>
      </c>
      <c r="I4" s="1368"/>
      <c r="J4" s="1368"/>
      <c r="K4" s="1369"/>
    </row>
    <row r="5" spans="1:11" ht="14.25">
      <c r="A5" s="1372"/>
      <c r="B5" s="799" t="s">
        <v>1128</v>
      </c>
      <c r="C5" s="799" t="s">
        <v>564</v>
      </c>
      <c r="D5" s="799" t="s">
        <v>563</v>
      </c>
      <c r="E5" s="799"/>
      <c r="G5" s="1372"/>
      <c r="H5" s="799" t="s">
        <v>1128</v>
      </c>
      <c r="I5" s="799" t="s">
        <v>564</v>
      </c>
      <c r="J5" s="799" t="s">
        <v>563</v>
      </c>
      <c r="K5" s="799"/>
    </row>
    <row r="6" spans="1:11" ht="26.1" customHeight="1">
      <c r="A6" s="1372"/>
      <c r="B6" s="799" t="s">
        <v>562</v>
      </c>
      <c r="C6" s="799" t="s">
        <v>562</v>
      </c>
      <c r="D6" s="799" t="s">
        <v>562</v>
      </c>
      <c r="E6" s="1374" t="s">
        <v>561</v>
      </c>
      <c r="G6" s="1372"/>
      <c r="H6" s="799" t="s">
        <v>562</v>
      </c>
      <c r="I6" s="799" t="s">
        <v>562</v>
      </c>
      <c r="J6" s="799" t="s">
        <v>562</v>
      </c>
      <c r="K6" s="1370" t="s">
        <v>561</v>
      </c>
    </row>
    <row r="7" spans="1:11" ht="14.25">
      <c r="A7" s="1372"/>
      <c r="B7" s="800" t="s">
        <v>559</v>
      </c>
      <c r="C7" s="800" t="s">
        <v>559</v>
      </c>
      <c r="D7" s="800" t="s">
        <v>559</v>
      </c>
      <c r="E7" s="1374"/>
      <c r="G7" s="1372"/>
      <c r="H7" s="800" t="s">
        <v>559</v>
      </c>
      <c r="I7" s="800" t="s">
        <v>559</v>
      </c>
      <c r="J7" s="800" t="s">
        <v>559</v>
      </c>
      <c r="K7" s="1371"/>
    </row>
    <row r="8" spans="1:11">
      <c r="A8" s="188" t="s">
        <v>558</v>
      </c>
      <c r="B8" s="189">
        <v>66</v>
      </c>
      <c r="C8" s="189">
        <v>39.5</v>
      </c>
      <c r="D8" s="189">
        <v>30.5</v>
      </c>
      <c r="E8" s="195">
        <f t="shared" ref="E8:E39" si="0">0.5*(B8+C8+D8)</f>
        <v>68</v>
      </c>
      <c r="G8" s="188" t="s">
        <v>488</v>
      </c>
      <c r="H8" s="189">
        <v>72</v>
      </c>
      <c r="I8" s="189">
        <v>32</v>
      </c>
      <c r="J8" s="189">
        <v>34</v>
      </c>
      <c r="K8" s="195">
        <f t="shared" ref="K8:K39" si="1">0.5*(H8+I8+J8)</f>
        <v>69</v>
      </c>
    </row>
    <row r="9" spans="1:11">
      <c r="A9" s="188" t="s">
        <v>557</v>
      </c>
      <c r="B9" s="189">
        <v>58</v>
      </c>
      <c r="C9" s="189">
        <v>48</v>
      </c>
      <c r="D9" s="189">
        <v>36.5</v>
      </c>
      <c r="E9" s="195">
        <f t="shared" si="0"/>
        <v>71.25</v>
      </c>
      <c r="G9" s="188" t="s">
        <v>487</v>
      </c>
      <c r="H9" s="189">
        <v>56.5</v>
      </c>
      <c r="I9" s="189">
        <v>28.5</v>
      </c>
      <c r="J9" s="189">
        <v>32.5</v>
      </c>
      <c r="K9" s="195">
        <f t="shared" si="1"/>
        <v>58.75</v>
      </c>
    </row>
    <row r="10" spans="1:11">
      <c r="A10" s="188" t="s">
        <v>556</v>
      </c>
      <c r="B10" s="189">
        <v>57.5</v>
      </c>
      <c r="C10" s="189">
        <v>43</v>
      </c>
      <c r="D10" s="189">
        <v>39.5</v>
      </c>
      <c r="E10" s="195">
        <f t="shared" si="0"/>
        <v>70</v>
      </c>
      <c r="G10" s="188" t="s">
        <v>486</v>
      </c>
      <c r="H10" s="189">
        <v>56</v>
      </c>
      <c r="I10" s="189">
        <v>38.5</v>
      </c>
      <c r="J10" s="189">
        <v>26.5</v>
      </c>
      <c r="K10" s="195">
        <f t="shared" si="1"/>
        <v>60.5</v>
      </c>
    </row>
    <row r="11" spans="1:11" ht="15" customHeight="1">
      <c r="A11" s="188" t="s">
        <v>555</v>
      </c>
      <c r="B11" s="189">
        <v>64.5</v>
      </c>
      <c r="C11" s="189">
        <v>41</v>
      </c>
      <c r="D11" s="189">
        <v>41.5</v>
      </c>
      <c r="E11" s="195">
        <f t="shared" si="0"/>
        <v>73.5</v>
      </c>
      <c r="G11" s="188" t="s">
        <v>485</v>
      </c>
      <c r="H11" s="189">
        <v>67</v>
      </c>
      <c r="I11" s="189">
        <v>49</v>
      </c>
      <c r="J11" s="189">
        <v>45</v>
      </c>
      <c r="K11" s="195">
        <f t="shared" si="1"/>
        <v>80.5</v>
      </c>
    </row>
    <row r="12" spans="1:11">
      <c r="A12" s="188" t="s">
        <v>554</v>
      </c>
      <c r="B12" s="189">
        <v>60.5</v>
      </c>
      <c r="C12" s="189">
        <v>37.5</v>
      </c>
      <c r="D12" s="189">
        <v>28</v>
      </c>
      <c r="E12" s="195">
        <f t="shared" si="0"/>
        <v>63</v>
      </c>
      <c r="G12" s="188" t="s">
        <v>484</v>
      </c>
      <c r="H12" s="189">
        <v>71</v>
      </c>
      <c r="I12" s="189">
        <v>31</v>
      </c>
      <c r="J12" s="189">
        <v>33.5</v>
      </c>
      <c r="K12" s="195">
        <f t="shared" si="1"/>
        <v>67.75</v>
      </c>
    </row>
    <row r="13" spans="1:11">
      <c r="A13" s="188" t="s">
        <v>553</v>
      </c>
      <c r="B13" s="189">
        <v>84.5</v>
      </c>
      <c r="C13" s="189">
        <v>33.5</v>
      </c>
      <c r="D13" s="189">
        <v>39</v>
      </c>
      <c r="E13" s="195">
        <f t="shared" si="0"/>
        <v>78.5</v>
      </c>
      <c r="G13" s="188" t="s">
        <v>483</v>
      </c>
      <c r="H13" s="189">
        <v>91.5</v>
      </c>
      <c r="I13" s="189">
        <v>43</v>
      </c>
      <c r="J13" s="189">
        <v>39</v>
      </c>
      <c r="K13" s="195">
        <f t="shared" si="1"/>
        <v>86.75</v>
      </c>
    </row>
    <row r="14" spans="1:11">
      <c r="A14" s="188" t="s">
        <v>552</v>
      </c>
      <c r="B14" s="189">
        <v>88.5</v>
      </c>
      <c r="C14" s="189">
        <v>39</v>
      </c>
      <c r="D14" s="189">
        <v>39.5</v>
      </c>
      <c r="E14" s="195">
        <f t="shared" si="0"/>
        <v>83.5</v>
      </c>
      <c r="G14" s="188" t="s">
        <v>482</v>
      </c>
      <c r="H14" s="189">
        <v>57</v>
      </c>
      <c r="I14" s="189">
        <v>38</v>
      </c>
      <c r="J14" s="189">
        <v>27</v>
      </c>
      <c r="K14" s="195">
        <f t="shared" si="1"/>
        <v>61</v>
      </c>
    </row>
    <row r="15" spans="1:11">
      <c r="A15" s="188" t="s">
        <v>551</v>
      </c>
      <c r="B15" s="189">
        <v>64.5</v>
      </c>
      <c r="C15" s="189">
        <v>48.5</v>
      </c>
      <c r="D15" s="189">
        <v>35</v>
      </c>
      <c r="E15" s="195">
        <f t="shared" si="0"/>
        <v>74</v>
      </c>
      <c r="G15" s="188" t="s">
        <v>481</v>
      </c>
      <c r="H15" s="189">
        <v>58</v>
      </c>
      <c r="I15" s="189">
        <v>38</v>
      </c>
      <c r="J15" s="189">
        <v>33.5</v>
      </c>
      <c r="K15" s="195">
        <f t="shared" si="1"/>
        <v>64.75</v>
      </c>
    </row>
    <row r="16" spans="1:11">
      <c r="A16" s="188" t="s">
        <v>550</v>
      </c>
      <c r="B16" s="189">
        <v>82</v>
      </c>
      <c r="C16" s="189">
        <v>36.5</v>
      </c>
      <c r="D16" s="189">
        <v>33</v>
      </c>
      <c r="E16" s="195">
        <f t="shared" si="0"/>
        <v>75.75</v>
      </c>
      <c r="G16" s="188" t="s">
        <v>480</v>
      </c>
      <c r="H16" s="189">
        <v>73.5</v>
      </c>
      <c r="I16" s="189">
        <v>43</v>
      </c>
      <c r="J16" s="189">
        <v>42</v>
      </c>
      <c r="K16" s="195">
        <f t="shared" si="1"/>
        <v>79.25</v>
      </c>
    </row>
    <row r="17" spans="1:22">
      <c r="A17" s="188" t="s">
        <v>549</v>
      </c>
      <c r="B17" s="189">
        <v>72.5</v>
      </c>
      <c r="C17" s="189">
        <v>40.5</v>
      </c>
      <c r="D17" s="189">
        <v>43.5</v>
      </c>
      <c r="E17" s="195">
        <f t="shared" si="0"/>
        <v>78.25</v>
      </c>
      <c r="G17" s="188" t="s">
        <v>479</v>
      </c>
      <c r="H17" s="189">
        <v>58.5</v>
      </c>
      <c r="I17" s="189">
        <v>41</v>
      </c>
      <c r="J17" s="189">
        <v>34</v>
      </c>
      <c r="K17" s="195">
        <f t="shared" si="1"/>
        <v>66.75</v>
      </c>
    </row>
    <row r="18" spans="1:22">
      <c r="A18" s="188" t="s">
        <v>548</v>
      </c>
      <c r="B18" s="189">
        <v>51</v>
      </c>
      <c r="C18" s="189">
        <v>43</v>
      </c>
      <c r="D18" s="189">
        <v>35</v>
      </c>
      <c r="E18" s="195">
        <f t="shared" si="0"/>
        <v>64.5</v>
      </c>
      <c r="G18" s="188" t="s">
        <v>478</v>
      </c>
      <c r="H18" s="189">
        <v>85</v>
      </c>
      <c r="I18" s="189">
        <v>38</v>
      </c>
      <c r="J18" s="189">
        <v>31</v>
      </c>
      <c r="K18" s="195">
        <f t="shared" si="1"/>
        <v>77</v>
      </c>
    </row>
    <row r="19" spans="1:22">
      <c r="A19" s="188" t="s">
        <v>547</v>
      </c>
      <c r="B19" s="189">
        <v>60.5</v>
      </c>
      <c r="C19" s="189">
        <v>34.5</v>
      </c>
      <c r="D19" s="189">
        <v>33</v>
      </c>
      <c r="E19" s="195">
        <f t="shared" si="0"/>
        <v>64</v>
      </c>
      <c r="G19" s="188" t="s">
        <v>477</v>
      </c>
      <c r="H19" s="189">
        <v>70.5</v>
      </c>
      <c r="I19" s="189">
        <v>41</v>
      </c>
      <c r="J19" s="189">
        <v>37</v>
      </c>
      <c r="K19" s="195">
        <f t="shared" si="1"/>
        <v>74.25</v>
      </c>
    </row>
    <row r="20" spans="1:22">
      <c r="A20" s="188" t="s">
        <v>546</v>
      </c>
      <c r="B20" s="189">
        <v>81</v>
      </c>
      <c r="C20" s="189">
        <v>40.5</v>
      </c>
      <c r="D20" s="189">
        <v>38.5</v>
      </c>
      <c r="E20" s="195">
        <f t="shared" si="0"/>
        <v>80</v>
      </c>
      <c r="G20" s="188" t="s">
        <v>476</v>
      </c>
      <c r="H20" s="189">
        <v>58.5</v>
      </c>
      <c r="I20" s="189">
        <v>35</v>
      </c>
      <c r="J20" s="189">
        <v>29.5</v>
      </c>
      <c r="K20" s="195">
        <f t="shared" si="1"/>
        <v>61.5</v>
      </c>
    </row>
    <row r="21" spans="1:22">
      <c r="A21" s="188" t="s">
        <v>545</v>
      </c>
      <c r="B21" s="189">
        <v>59</v>
      </c>
      <c r="C21" s="189">
        <v>45</v>
      </c>
      <c r="D21" s="189">
        <v>40</v>
      </c>
      <c r="E21" s="195">
        <f t="shared" si="0"/>
        <v>72</v>
      </c>
      <c r="G21" s="188" t="s">
        <v>475</v>
      </c>
      <c r="H21" s="189">
        <v>68.5</v>
      </c>
      <c r="I21" s="189">
        <v>36.5</v>
      </c>
      <c r="J21" s="189">
        <v>31.5</v>
      </c>
      <c r="K21" s="195">
        <f t="shared" si="1"/>
        <v>68.25</v>
      </c>
    </row>
    <row r="22" spans="1:22">
      <c r="A22" s="188" t="s">
        <v>544</v>
      </c>
      <c r="B22" s="189">
        <v>74.5</v>
      </c>
      <c r="C22" s="189">
        <v>47</v>
      </c>
      <c r="D22" s="189">
        <v>36</v>
      </c>
      <c r="E22" s="195">
        <f t="shared" si="0"/>
        <v>78.75</v>
      </c>
      <c r="G22" s="188" t="s">
        <v>474</v>
      </c>
      <c r="H22" s="189">
        <v>69</v>
      </c>
      <c r="I22" s="189">
        <v>41.5</v>
      </c>
      <c r="J22" s="189">
        <v>34.5</v>
      </c>
      <c r="K22" s="195">
        <f t="shared" si="1"/>
        <v>72.5</v>
      </c>
    </row>
    <row r="23" spans="1:22">
      <c r="A23" s="188" t="s">
        <v>543</v>
      </c>
      <c r="B23" s="189">
        <v>69</v>
      </c>
      <c r="C23" s="189">
        <v>42</v>
      </c>
      <c r="D23" s="189">
        <v>38</v>
      </c>
      <c r="E23" s="195">
        <f t="shared" si="0"/>
        <v>74.5</v>
      </c>
      <c r="G23" s="188" t="s">
        <v>473</v>
      </c>
      <c r="H23" s="189">
        <v>67.5</v>
      </c>
      <c r="I23" s="189">
        <v>34</v>
      </c>
      <c r="J23" s="189">
        <v>32</v>
      </c>
      <c r="K23" s="195">
        <f t="shared" si="1"/>
        <v>66.75</v>
      </c>
    </row>
    <row r="24" spans="1:22">
      <c r="A24" s="188" t="s">
        <v>542</v>
      </c>
      <c r="B24" s="189">
        <v>82.5</v>
      </c>
      <c r="C24" s="189">
        <v>46.5</v>
      </c>
      <c r="D24" s="189">
        <v>46</v>
      </c>
      <c r="E24" s="195">
        <f t="shared" si="0"/>
        <v>87.5</v>
      </c>
      <c r="G24" s="188" t="s">
        <v>472</v>
      </c>
      <c r="H24" s="189">
        <v>46</v>
      </c>
      <c r="I24" s="189">
        <v>32.5</v>
      </c>
      <c r="J24" s="189">
        <v>33</v>
      </c>
      <c r="K24" s="195">
        <f t="shared" si="1"/>
        <v>55.75</v>
      </c>
    </row>
    <row r="25" spans="1:22">
      <c r="A25" s="188" t="s">
        <v>541</v>
      </c>
      <c r="B25" s="189">
        <v>66.5</v>
      </c>
      <c r="C25" s="189">
        <v>33.5</v>
      </c>
      <c r="D25" s="189">
        <v>33</v>
      </c>
      <c r="E25" s="195">
        <f t="shared" si="0"/>
        <v>66.5</v>
      </c>
      <c r="G25" s="188" t="s">
        <v>471</v>
      </c>
      <c r="H25" s="189">
        <v>79</v>
      </c>
      <c r="I25" s="189">
        <v>39</v>
      </c>
      <c r="J25" s="189">
        <v>32</v>
      </c>
      <c r="K25" s="195">
        <f t="shared" si="1"/>
        <v>75</v>
      </c>
      <c r="R25" s="191"/>
      <c r="S25" s="191"/>
      <c r="T25" s="191"/>
      <c r="U25" s="191"/>
      <c r="V25" s="191"/>
    </row>
    <row r="26" spans="1:22">
      <c r="A26" s="188" t="s">
        <v>540</v>
      </c>
      <c r="B26" s="189">
        <v>59</v>
      </c>
      <c r="C26" s="189">
        <v>29.5</v>
      </c>
      <c r="D26" s="189">
        <v>31.5</v>
      </c>
      <c r="E26" s="195">
        <f t="shared" si="0"/>
        <v>60</v>
      </c>
      <c r="G26" s="188" t="s">
        <v>470</v>
      </c>
      <c r="H26" s="189">
        <v>86</v>
      </c>
      <c r="I26" s="189">
        <v>39</v>
      </c>
      <c r="J26" s="189">
        <v>39</v>
      </c>
      <c r="K26" s="195">
        <f t="shared" si="1"/>
        <v>82</v>
      </c>
      <c r="R26" s="191"/>
      <c r="S26" s="191"/>
      <c r="T26" s="191"/>
      <c r="U26" s="191"/>
      <c r="V26" s="191"/>
    </row>
    <row r="27" spans="1:22">
      <c r="A27" s="188" t="s">
        <v>539</v>
      </c>
      <c r="B27" s="189">
        <v>59.5</v>
      </c>
      <c r="C27" s="189">
        <v>42.5</v>
      </c>
      <c r="D27" s="189">
        <v>32</v>
      </c>
      <c r="E27" s="195">
        <f t="shared" si="0"/>
        <v>67</v>
      </c>
      <c r="G27" s="188" t="s">
        <v>469</v>
      </c>
      <c r="H27" s="189">
        <v>87.5</v>
      </c>
      <c r="I27" s="189">
        <v>35.5</v>
      </c>
      <c r="J27" s="189">
        <v>37</v>
      </c>
      <c r="K27" s="195">
        <f t="shared" si="1"/>
        <v>80</v>
      </c>
      <c r="R27" s="191"/>
      <c r="S27" s="191"/>
      <c r="T27" s="191"/>
      <c r="U27" s="191"/>
      <c r="V27" s="191"/>
    </row>
    <row r="28" spans="1:22">
      <c r="A28" s="188" t="s">
        <v>538</v>
      </c>
      <c r="B28" s="189">
        <v>86.5</v>
      </c>
      <c r="C28" s="189">
        <v>40</v>
      </c>
      <c r="D28" s="189">
        <v>39</v>
      </c>
      <c r="E28" s="195">
        <f t="shared" si="0"/>
        <v>82.75</v>
      </c>
      <c r="G28" s="188" t="s">
        <v>468</v>
      </c>
      <c r="H28" s="189">
        <v>61.5</v>
      </c>
      <c r="I28" s="189">
        <v>34</v>
      </c>
      <c r="J28" s="189">
        <v>29.5</v>
      </c>
      <c r="K28" s="195">
        <f t="shared" si="1"/>
        <v>62.5</v>
      </c>
      <c r="R28" s="191"/>
      <c r="S28" s="191"/>
      <c r="T28" s="191"/>
      <c r="U28" s="191"/>
      <c r="V28" s="191"/>
    </row>
    <row r="29" spans="1:22">
      <c r="A29" s="188" t="s">
        <v>537</v>
      </c>
      <c r="B29" s="189">
        <v>77</v>
      </c>
      <c r="C29" s="189">
        <v>39.5</v>
      </c>
      <c r="D29" s="189">
        <v>39.5</v>
      </c>
      <c r="E29" s="195">
        <f t="shared" si="0"/>
        <v>78</v>
      </c>
      <c r="G29" s="188" t="s">
        <v>467</v>
      </c>
      <c r="H29" s="189">
        <v>48</v>
      </c>
      <c r="I29" s="189">
        <v>34.5</v>
      </c>
      <c r="J29" s="189">
        <v>24.5</v>
      </c>
      <c r="K29" s="195">
        <f t="shared" si="1"/>
        <v>53.5</v>
      </c>
      <c r="R29" s="191"/>
      <c r="S29" s="191"/>
      <c r="T29" s="191"/>
      <c r="U29" s="191"/>
      <c r="V29" s="191"/>
    </row>
    <row r="30" spans="1:22">
      <c r="A30" s="188" t="s">
        <v>536</v>
      </c>
      <c r="B30" s="189">
        <v>62.5</v>
      </c>
      <c r="C30" s="189">
        <v>48</v>
      </c>
      <c r="D30" s="189">
        <v>39.5</v>
      </c>
      <c r="E30" s="195">
        <f t="shared" si="0"/>
        <v>75</v>
      </c>
      <c r="G30" s="188" t="s">
        <v>466</v>
      </c>
      <c r="H30" s="189">
        <v>46</v>
      </c>
      <c r="I30" s="189">
        <v>49</v>
      </c>
      <c r="J30" s="189">
        <v>36.5</v>
      </c>
      <c r="K30" s="195">
        <f t="shared" si="1"/>
        <v>65.75</v>
      </c>
      <c r="R30" s="191"/>
      <c r="S30" s="191"/>
      <c r="T30" s="191"/>
      <c r="U30" s="191"/>
      <c r="V30" s="191"/>
    </row>
    <row r="31" spans="1:22">
      <c r="A31" s="188" t="s">
        <v>535</v>
      </c>
      <c r="B31" s="189">
        <v>62.5</v>
      </c>
      <c r="C31" s="189">
        <v>40.5</v>
      </c>
      <c r="D31" s="189">
        <v>34.5</v>
      </c>
      <c r="E31" s="195">
        <f t="shared" si="0"/>
        <v>68.75</v>
      </c>
      <c r="G31" s="188" t="s">
        <v>465</v>
      </c>
      <c r="H31" s="189">
        <v>88.5</v>
      </c>
      <c r="I31" s="189">
        <v>46.5</v>
      </c>
      <c r="J31" s="189">
        <v>46</v>
      </c>
      <c r="K31" s="195">
        <f t="shared" si="1"/>
        <v>90.5</v>
      </c>
      <c r="R31" s="191"/>
      <c r="S31" s="191"/>
      <c r="T31" s="191"/>
      <c r="U31" s="191"/>
      <c r="V31" s="191"/>
    </row>
    <row r="32" spans="1:22">
      <c r="A32" s="188" t="s">
        <v>534</v>
      </c>
      <c r="B32" s="189">
        <v>38</v>
      </c>
      <c r="C32" s="189">
        <v>34.5</v>
      </c>
      <c r="D32" s="189">
        <v>26</v>
      </c>
      <c r="E32" s="195">
        <f t="shared" si="0"/>
        <v>49.25</v>
      </c>
      <c r="G32" s="188" t="s">
        <v>464</v>
      </c>
      <c r="H32" s="189">
        <v>74</v>
      </c>
      <c r="I32" s="189">
        <v>45.5</v>
      </c>
      <c r="J32" s="189">
        <v>45</v>
      </c>
      <c r="K32" s="195">
        <f t="shared" si="1"/>
        <v>82.25</v>
      </c>
      <c r="R32" s="191"/>
      <c r="S32" s="191"/>
      <c r="T32" s="191"/>
      <c r="U32" s="191"/>
      <c r="V32" s="191"/>
    </row>
    <row r="33" spans="1:22">
      <c r="A33" s="188" t="s">
        <v>533</v>
      </c>
      <c r="B33" s="189">
        <v>55.5</v>
      </c>
      <c r="C33" s="189">
        <v>46</v>
      </c>
      <c r="D33" s="189">
        <v>41.5</v>
      </c>
      <c r="E33" s="195">
        <f t="shared" si="0"/>
        <v>71.5</v>
      </c>
      <c r="G33" s="188" t="s">
        <v>463</v>
      </c>
      <c r="H33" s="189">
        <v>45.5</v>
      </c>
      <c r="I33" s="189">
        <v>38.5</v>
      </c>
      <c r="J33" s="189">
        <v>30.5</v>
      </c>
      <c r="K33" s="195">
        <f t="shared" si="1"/>
        <v>57.25</v>
      </c>
      <c r="R33" s="191"/>
      <c r="S33" s="191"/>
      <c r="T33" s="191"/>
      <c r="U33" s="191"/>
      <c r="V33" s="191"/>
    </row>
    <row r="34" spans="1:22">
      <c r="A34" s="188" t="s">
        <v>532</v>
      </c>
      <c r="B34" s="189">
        <v>73.5</v>
      </c>
      <c r="C34" s="189">
        <v>40.5</v>
      </c>
      <c r="D34" s="189">
        <v>34</v>
      </c>
      <c r="E34" s="195">
        <f t="shared" si="0"/>
        <v>74</v>
      </c>
      <c r="G34" s="188" t="s">
        <v>462</v>
      </c>
      <c r="H34" s="189">
        <v>75</v>
      </c>
      <c r="I34" s="189">
        <v>37.5</v>
      </c>
      <c r="J34" s="189">
        <v>37</v>
      </c>
      <c r="K34" s="195">
        <f t="shared" si="1"/>
        <v>74.75</v>
      </c>
      <c r="R34" s="191"/>
      <c r="S34" s="191"/>
      <c r="T34" s="191"/>
      <c r="U34" s="191"/>
      <c r="V34" s="191"/>
    </row>
    <row r="35" spans="1:22">
      <c r="A35" s="188" t="s">
        <v>531</v>
      </c>
      <c r="B35" s="189">
        <v>40.5</v>
      </c>
      <c r="C35" s="189">
        <v>40</v>
      </c>
      <c r="D35" s="189">
        <v>37</v>
      </c>
      <c r="E35" s="195">
        <f t="shared" si="0"/>
        <v>58.75</v>
      </c>
      <c r="G35" s="188" t="s">
        <v>461</v>
      </c>
      <c r="H35" s="189">
        <v>59</v>
      </c>
      <c r="I35" s="189">
        <v>39.5</v>
      </c>
      <c r="J35" s="189">
        <v>34.5</v>
      </c>
      <c r="K35" s="195">
        <f t="shared" si="1"/>
        <v>66.5</v>
      </c>
      <c r="R35" s="191"/>
      <c r="S35" s="191"/>
      <c r="T35" s="191"/>
      <c r="U35" s="191"/>
      <c r="V35" s="191"/>
    </row>
    <row r="36" spans="1:22">
      <c r="A36" s="188" t="s">
        <v>530</v>
      </c>
      <c r="B36" s="189">
        <v>75.5</v>
      </c>
      <c r="C36" s="189">
        <v>33</v>
      </c>
      <c r="D36" s="189">
        <v>33</v>
      </c>
      <c r="E36" s="195">
        <f t="shared" si="0"/>
        <v>70.75</v>
      </c>
      <c r="G36" s="188" t="s">
        <v>460</v>
      </c>
      <c r="H36" s="189">
        <v>55</v>
      </c>
      <c r="I36" s="189">
        <v>43</v>
      </c>
      <c r="J36" s="189">
        <v>36.5</v>
      </c>
      <c r="K36" s="195">
        <f t="shared" si="1"/>
        <v>67.25</v>
      </c>
      <c r="R36" s="191"/>
      <c r="S36" s="191"/>
      <c r="T36" s="191"/>
      <c r="U36" s="191"/>
      <c r="V36" s="191"/>
    </row>
    <row r="37" spans="1:22">
      <c r="A37" s="188" t="s">
        <v>529</v>
      </c>
      <c r="B37" s="189">
        <v>33.5</v>
      </c>
      <c r="C37" s="189">
        <v>39</v>
      </c>
      <c r="D37" s="189">
        <v>36.5</v>
      </c>
      <c r="E37" s="195">
        <f t="shared" si="0"/>
        <v>54.5</v>
      </c>
      <c r="G37" s="188" t="s">
        <v>459</v>
      </c>
      <c r="H37" s="189">
        <v>62.5</v>
      </c>
      <c r="I37" s="189">
        <v>42.5</v>
      </c>
      <c r="J37" s="189">
        <v>39</v>
      </c>
      <c r="K37" s="195">
        <f t="shared" si="1"/>
        <v>72</v>
      </c>
      <c r="R37" s="191"/>
      <c r="S37" s="191"/>
      <c r="T37" s="191"/>
      <c r="U37" s="191"/>
      <c r="V37" s="191"/>
    </row>
    <row r="38" spans="1:22">
      <c r="A38" s="188" t="s">
        <v>528</v>
      </c>
      <c r="B38" s="189">
        <v>80.5</v>
      </c>
      <c r="C38" s="189">
        <v>31</v>
      </c>
      <c r="D38" s="189">
        <v>33</v>
      </c>
      <c r="E38" s="195">
        <f t="shared" si="0"/>
        <v>72.25</v>
      </c>
      <c r="G38" s="188" t="s">
        <v>458</v>
      </c>
      <c r="H38" s="189">
        <v>63</v>
      </c>
      <c r="I38" s="189">
        <v>42.5</v>
      </c>
      <c r="J38" s="189">
        <v>38</v>
      </c>
      <c r="K38" s="195">
        <f t="shared" si="1"/>
        <v>71.75</v>
      </c>
      <c r="R38" s="191"/>
      <c r="S38" s="191"/>
      <c r="T38" s="191"/>
      <c r="U38" s="191"/>
      <c r="V38" s="191"/>
    </row>
    <row r="39" spans="1:22">
      <c r="A39" s="188" t="s">
        <v>527</v>
      </c>
      <c r="B39" s="189">
        <v>78</v>
      </c>
      <c r="C39" s="189">
        <v>38.5</v>
      </c>
      <c r="D39" s="189">
        <v>36.5</v>
      </c>
      <c r="E39" s="195">
        <f t="shared" si="0"/>
        <v>76.5</v>
      </c>
      <c r="G39" s="188" t="s">
        <v>457</v>
      </c>
      <c r="H39" s="189">
        <v>79</v>
      </c>
      <c r="I39" s="189">
        <v>36.5</v>
      </c>
      <c r="J39" s="189">
        <v>35.5</v>
      </c>
      <c r="K39" s="195">
        <f t="shared" si="1"/>
        <v>75.5</v>
      </c>
      <c r="R39" s="191"/>
      <c r="S39" s="191"/>
      <c r="T39" s="191"/>
      <c r="U39" s="191"/>
      <c r="V39" s="191"/>
    </row>
    <row r="40" spans="1:22">
      <c r="A40" s="188" t="s">
        <v>526</v>
      </c>
      <c r="B40" s="189">
        <v>84.5</v>
      </c>
      <c r="C40" s="189">
        <v>44.5</v>
      </c>
      <c r="D40" s="189">
        <v>40.5</v>
      </c>
      <c r="E40" s="195">
        <f t="shared" ref="E40:E71" si="2">0.5*(B40+C40+D40)</f>
        <v>84.75</v>
      </c>
      <c r="G40" s="188" t="s">
        <v>456</v>
      </c>
      <c r="H40" s="189">
        <v>76.5</v>
      </c>
      <c r="I40" s="189">
        <v>35</v>
      </c>
      <c r="J40" s="189">
        <v>32.5</v>
      </c>
      <c r="K40" s="195">
        <f t="shared" ref="K40:K71" si="3">0.5*(H40+I40+J40)</f>
        <v>72</v>
      </c>
      <c r="R40" s="191"/>
      <c r="S40" s="191"/>
      <c r="T40" s="191"/>
      <c r="U40" s="191"/>
      <c r="V40" s="191"/>
    </row>
    <row r="41" spans="1:22">
      <c r="A41" s="188" t="s">
        <v>525</v>
      </c>
      <c r="B41" s="189">
        <v>66.5</v>
      </c>
      <c r="C41" s="189">
        <v>38.5</v>
      </c>
      <c r="D41" s="189">
        <v>34</v>
      </c>
      <c r="E41" s="195">
        <f t="shared" si="2"/>
        <v>69.5</v>
      </c>
      <c r="G41" s="188" t="s">
        <v>455</v>
      </c>
      <c r="H41" s="189">
        <v>73</v>
      </c>
      <c r="I41" s="189">
        <v>41</v>
      </c>
      <c r="J41" s="189">
        <v>50</v>
      </c>
      <c r="K41" s="195">
        <f t="shared" si="3"/>
        <v>82</v>
      </c>
      <c r="R41" s="191"/>
      <c r="S41" s="191"/>
      <c r="T41" s="191"/>
      <c r="U41" s="191"/>
      <c r="V41" s="191"/>
    </row>
    <row r="42" spans="1:22">
      <c r="A42" s="188" t="s">
        <v>524</v>
      </c>
      <c r="B42" s="189">
        <v>52.5</v>
      </c>
      <c r="C42" s="189">
        <v>40.5</v>
      </c>
      <c r="D42" s="189">
        <v>35</v>
      </c>
      <c r="E42" s="195">
        <f t="shared" si="2"/>
        <v>64</v>
      </c>
      <c r="G42" s="188" t="s">
        <v>454</v>
      </c>
      <c r="H42" s="189">
        <v>66.5</v>
      </c>
      <c r="I42" s="189">
        <v>35.5</v>
      </c>
      <c r="J42" s="189">
        <v>29</v>
      </c>
      <c r="K42" s="195">
        <f t="shared" si="3"/>
        <v>65.5</v>
      </c>
      <c r="R42" s="191"/>
      <c r="S42" s="191"/>
      <c r="T42" s="191"/>
      <c r="U42" s="191"/>
      <c r="V42" s="191"/>
    </row>
    <row r="43" spans="1:22">
      <c r="A43" s="188" t="s">
        <v>523</v>
      </c>
      <c r="B43" s="189">
        <v>56</v>
      </c>
      <c r="C43" s="189">
        <v>41.5</v>
      </c>
      <c r="D43" s="189">
        <v>31.5</v>
      </c>
      <c r="E43" s="195">
        <f t="shared" si="2"/>
        <v>64.5</v>
      </c>
      <c r="G43" s="188" t="s">
        <v>453</v>
      </c>
      <c r="H43" s="189">
        <v>62</v>
      </c>
      <c r="I43" s="189">
        <v>44.5</v>
      </c>
      <c r="J43" s="189">
        <v>39</v>
      </c>
      <c r="K43" s="195">
        <f t="shared" si="3"/>
        <v>72.75</v>
      </c>
      <c r="R43" s="191"/>
      <c r="S43" s="191"/>
      <c r="T43" s="191"/>
      <c r="U43" s="191"/>
      <c r="V43" s="191"/>
    </row>
    <row r="44" spans="1:22">
      <c r="A44" s="188" t="s">
        <v>522</v>
      </c>
      <c r="B44" s="189">
        <v>68</v>
      </c>
      <c r="C44" s="189">
        <v>38</v>
      </c>
      <c r="D44" s="189">
        <v>33.5</v>
      </c>
      <c r="E44" s="195">
        <f t="shared" si="2"/>
        <v>69.75</v>
      </c>
      <c r="G44" s="188" t="s">
        <v>452</v>
      </c>
      <c r="H44" s="189">
        <v>69.5</v>
      </c>
      <c r="I44" s="189">
        <v>46.5</v>
      </c>
      <c r="J44" s="189">
        <v>44.5</v>
      </c>
      <c r="K44" s="195">
        <f t="shared" si="3"/>
        <v>80.25</v>
      </c>
      <c r="R44" s="191"/>
      <c r="S44" s="191"/>
      <c r="T44" s="191"/>
      <c r="U44" s="191"/>
      <c r="V44" s="191"/>
    </row>
    <row r="45" spans="1:22">
      <c r="A45" s="188" t="s">
        <v>521</v>
      </c>
      <c r="B45" s="189">
        <v>73</v>
      </c>
      <c r="C45" s="189">
        <v>30.5</v>
      </c>
      <c r="D45" s="189">
        <v>40.5</v>
      </c>
      <c r="E45" s="195">
        <f t="shared" si="2"/>
        <v>72</v>
      </c>
      <c r="G45" s="188" t="s">
        <v>451</v>
      </c>
      <c r="H45" s="189">
        <v>55.5</v>
      </c>
      <c r="I45" s="189">
        <v>40</v>
      </c>
      <c r="J45" s="189">
        <v>33.5</v>
      </c>
      <c r="K45" s="195">
        <f t="shared" si="3"/>
        <v>64.5</v>
      </c>
      <c r="R45" s="191"/>
      <c r="S45" s="191"/>
      <c r="T45" s="191"/>
      <c r="U45" s="191"/>
      <c r="V45" s="191"/>
    </row>
    <row r="46" spans="1:22">
      <c r="A46" s="188" t="s">
        <v>520</v>
      </c>
      <c r="B46" s="189">
        <v>50.5</v>
      </c>
      <c r="C46" s="189">
        <v>30.5</v>
      </c>
      <c r="D46" s="189">
        <v>34</v>
      </c>
      <c r="E46" s="195">
        <f t="shared" si="2"/>
        <v>57.5</v>
      </c>
      <c r="G46" s="188" t="s">
        <v>450</v>
      </c>
      <c r="H46" s="189">
        <v>61</v>
      </c>
      <c r="I46" s="189">
        <v>33.5</v>
      </c>
      <c r="J46" s="189">
        <v>32</v>
      </c>
      <c r="K46" s="195">
        <f t="shared" si="3"/>
        <v>63.25</v>
      </c>
      <c r="R46" s="191"/>
      <c r="S46" s="191"/>
      <c r="T46" s="191"/>
      <c r="U46" s="191"/>
      <c r="V46" s="191"/>
    </row>
    <row r="47" spans="1:22">
      <c r="A47" s="188" t="s">
        <v>519</v>
      </c>
      <c r="B47" s="189">
        <v>92</v>
      </c>
      <c r="C47" s="189">
        <v>36</v>
      </c>
      <c r="D47" s="189">
        <v>39.5</v>
      </c>
      <c r="E47" s="195">
        <f t="shared" si="2"/>
        <v>83.75</v>
      </c>
      <c r="G47" s="188" t="s">
        <v>449</v>
      </c>
      <c r="H47" s="189">
        <v>61.5</v>
      </c>
      <c r="I47" s="189">
        <v>37.5</v>
      </c>
      <c r="J47" s="189">
        <v>29</v>
      </c>
      <c r="K47" s="195">
        <f t="shared" si="3"/>
        <v>64</v>
      </c>
      <c r="R47" s="191"/>
      <c r="S47" s="191"/>
      <c r="T47" s="191"/>
      <c r="U47" s="191"/>
      <c r="V47" s="191"/>
    </row>
    <row r="48" spans="1:22">
      <c r="A48" s="188" t="s">
        <v>518</v>
      </c>
      <c r="B48" s="189">
        <v>77.5</v>
      </c>
      <c r="C48" s="189">
        <v>37</v>
      </c>
      <c r="D48" s="189">
        <v>35.5</v>
      </c>
      <c r="E48" s="195">
        <f t="shared" si="2"/>
        <v>75</v>
      </c>
      <c r="G48" s="188" t="s">
        <v>448</v>
      </c>
      <c r="H48" s="189">
        <v>85</v>
      </c>
      <c r="I48" s="189">
        <v>45</v>
      </c>
      <c r="J48" s="189">
        <v>47</v>
      </c>
      <c r="K48" s="195">
        <f t="shared" si="3"/>
        <v>88.5</v>
      </c>
      <c r="R48" s="191"/>
      <c r="S48" s="191"/>
      <c r="T48" s="191"/>
      <c r="U48" s="191"/>
      <c r="V48" s="191"/>
    </row>
    <row r="49" spans="1:22">
      <c r="A49" s="188" t="s">
        <v>517</v>
      </c>
      <c r="B49" s="189">
        <v>60.5</v>
      </c>
      <c r="C49" s="189">
        <v>45.5</v>
      </c>
      <c r="D49" s="189">
        <v>45</v>
      </c>
      <c r="E49" s="195">
        <f t="shared" si="2"/>
        <v>75.5</v>
      </c>
      <c r="G49" s="188" t="s">
        <v>447</v>
      </c>
      <c r="H49" s="189">
        <v>75.5</v>
      </c>
      <c r="I49" s="189">
        <v>38</v>
      </c>
      <c r="J49" s="189">
        <v>29</v>
      </c>
      <c r="K49" s="195">
        <f t="shared" si="3"/>
        <v>71.25</v>
      </c>
      <c r="R49" s="191"/>
      <c r="S49" s="191"/>
      <c r="T49" s="191"/>
      <c r="U49" s="191"/>
      <c r="V49" s="191"/>
    </row>
    <row r="50" spans="1:22">
      <c r="A50" s="188" t="s">
        <v>516</v>
      </c>
      <c r="B50" s="189">
        <v>61.5</v>
      </c>
      <c r="C50" s="189">
        <v>21.5</v>
      </c>
      <c r="D50" s="189">
        <v>31.5</v>
      </c>
      <c r="E50" s="195">
        <f t="shared" si="2"/>
        <v>57.25</v>
      </c>
      <c r="G50" s="188" t="s">
        <v>446</v>
      </c>
      <c r="H50" s="189">
        <v>76</v>
      </c>
      <c r="I50" s="189">
        <v>35.5</v>
      </c>
      <c r="J50" s="189">
        <v>38</v>
      </c>
      <c r="K50" s="195">
        <f t="shared" si="3"/>
        <v>74.75</v>
      </c>
      <c r="R50" s="191"/>
      <c r="S50" s="191"/>
      <c r="T50" s="191"/>
      <c r="U50" s="191"/>
      <c r="V50" s="191"/>
    </row>
    <row r="51" spans="1:22">
      <c r="A51" s="188" t="s">
        <v>515</v>
      </c>
      <c r="B51" s="189">
        <v>82.5</v>
      </c>
      <c r="C51" s="189">
        <v>42</v>
      </c>
      <c r="D51" s="189">
        <v>42.5</v>
      </c>
      <c r="E51" s="195">
        <f t="shared" si="2"/>
        <v>83.5</v>
      </c>
      <c r="G51" s="188" t="s">
        <v>445</v>
      </c>
      <c r="H51" s="189">
        <v>23.5</v>
      </c>
      <c r="I51" s="189">
        <v>32.5</v>
      </c>
      <c r="J51" s="189">
        <v>27</v>
      </c>
      <c r="K51" s="195">
        <f t="shared" si="3"/>
        <v>41.5</v>
      </c>
      <c r="R51" s="191"/>
      <c r="S51" s="191"/>
      <c r="T51" s="191"/>
      <c r="U51" s="191"/>
      <c r="V51" s="191"/>
    </row>
    <row r="52" spans="1:22">
      <c r="A52" s="188" t="s">
        <v>514</v>
      </c>
      <c r="B52" s="189">
        <v>63.5</v>
      </c>
      <c r="C52" s="189">
        <v>39</v>
      </c>
      <c r="D52" s="189">
        <v>30</v>
      </c>
      <c r="E52" s="195">
        <f t="shared" si="2"/>
        <v>66.25</v>
      </c>
      <c r="G52" s="188" t="s">
        <v>444</v>
      </c>
      <c r="H52" s="189">
        <v>66.5</v>
      </c>
      <c r="I52" s="189">
        <v>39.5</v>
      </c>
      <c r="J52" s="189">
        <v>32.5</v>
      </c>
      <c r="K52" s="195">
        <f t="shared" si="3"/>
        <v>69.25</v>
      </c>
      <c r="R52" s="191"/>
      <c r="S52" s="191"/>
      <c r="T52" s="191"/>
      <c r="U52" s="191"/>
      <c r="V52" s="191"/>
    </row>
    <row r="53" spans="1:22">
      <c r="A53" s="188" t="s">
        <v>513</v>
      </c>
      <c r="B53" s="189">
        <v>68</v>
      </c>
      <c r="C53" s="189">
        <v>28.5</v>
      </c>
      <c r="D53" s="189">
        <v>26.5</v>
      </c>
      <c r="E53" s="195">
        <f t="shared" si="2"/>
        <v>61.5</v>
      </c>
      <c r="G53" s="188" t="s">
        <v>443</v>
      </c>
      <c r="H53" s="189">
        <v>70.5</v>
      </c>
      <c r="I53" s="189">
        <v>34.5</v>
      </c>
      <c r="J53" s="189">
        <v>35</v>
      </c>
      <c r="K53" s="195">
        <f t="shared" si="3"/>
        <v>70</v>
      </c>
      <c r="R53" s="191"/>
      <c r="S53" s="191"/>
      <c r="T53" s="191"/>
      <c r="U53" s="191"/>
      <c r="V53" s="191"/>
    </row>
    <row r="54" spans="1:22">
      <c r="A54" s="188" t="s">
        <v>512</v>
      </c>
      <c r="B54" s="189">
        <v>60.5</v>
      </c>
      <c r="C54" s="189">
        <v>40.5</v>
      </c>
      <c r="D54" s="189">
        <v>33</v>
      </c>
      <c r="E54" s="195">
        <f t="shared" si="2"/>
        <v>67</v>
      </c>
      <c r="G54" s="188" t="s">
        <v>442</v>
      </c>
      <c r="H54" s="189">
        <v>58</v>
      </c>
      <c r="I54" s="189">
        <v>38</v>
      </c>
      <c r="J54" s="189">
        <v>32.5</v>
      </c>
      <c r="K54" s="195">
        <f t="shared" si="3"/>
        <v>64.25</v>
      </c>
      <c r="R54" s="191"/>
      <c r="S54" s="191"/>
      <c r="T54" s="191"/>
      <c r="U54" s="191"/>
      <c r="V54" s="191"/>
    </row>
    <row r="55" spans="1:22">
      <c r="A55" s="188" t="s">
        <v>511</v>
      </c>
      <c r="B55" s="189">
        <v>47.5</v>
      </c>
      <c r="C55" s="189">
        <v>23.5</v>
      </c>
      <c r="D55" s="189">
        <v>27.5</v>
      </c>
      <c r="E55" s="195">
        <f t="shared" si="2"/>
        <v>49.25</v>
      </c>
      <c r="G55" s="188" t="s">
        <v>441</v>
      </c>
      <c r="H55" s="189">
        <v>40.5</v>
      </c>
      <c r="I55" s="189">
        <v>32.5</v>
      </c>
      <c r="J55" s="189">
        <v>31</v>
      </c>
      <c r="K55" s="195">
        <f t="shared" si="3"/>
        <v>52</v>
      </c>
      <c r="R55" s="191"/>
      <c r="S55" s="191"/>
      <c r="T55" s="191"/>
      <c r="U55" s="191"/>
      <c r="V55" s="191"/>
    </row>
    <row r="56" spans="1:22">
      <c r="A56" s="188" t="s">
        <v>510</v>
      </c>
      <c r="B56" s="189">
        <v>53</v>
      </c>
      <c r="C56" s="189">
        <v>29</v>
      </c>
      <c r="D56" s="189">
        <v>30.5</v>
      </c>
      <c r="E56" s="195">
        <f t="shared" si="2"/>
        <v>56.25</v>
      </c>
      <c r="G56" s="188" t="s">
        <v>440</v>
      </c>
      <c r="H56" s="189">
        <v>63</v>
      </c>
      <c r="I56" s="189">
        <v>44.5</v>
      </c>
      <c r="J56" s="189">
        <v>36</v>
      </c>
      <c r="K56" s="195">
        <f t="shared" si="3"/>
        <v>71.75</v>
      </c>
      <c r="R56" s="191"/>
      <c r="S56" s="191"/>
      <c r="T56" s="191"/>
      <c r="U56" s="191"/>
      <c r="V56" s="191"/>
    </row>
    <row r="57" spans="1:22">
      <c r="A57" s="188" t="s">
        <v>509</v>
      </c>
      <c r="B57" s="189">
        <v>59.5</v>
      </c>
      <c r="C57" s="189">
        <v>35.5</v>
      </c>
      <c r="D57" s="189">
        <v>30</v>
      </c>
      <c r="E57" s="195">
        <f t="shared" si="2"/>
        <v>62.5</v>
      </c>
      <c r="G57" s="188" t="s">
        <v>439</v>
      </c>
      <c r="H57" s="189">
        <v>87</v>
      </c>
      <c r="I57" s="189">
        <v>40</v>
      </c>
      <c r="J57" s="189">
        <v>43</v>
      </c>
      <c r="K57" s="195">
        <f t="shared" si="3"/>
        <v>85</v>
      </c>
      <c r="R57" s="191"/>
      <c r="S57" s="191"/>
      <c r="T57" s="191"/>
      <c r="U57" s="191"/>
      <c r="V57" s="191"/>
    </row>
    <row r="58" spans="1:22">
      <c r="A58" s="188" t="s">
        <v>508</v>
      </c>
      <c r="B58" s="189">
        <v>41</v>
      </c>
      <c r="C58" s="189">
        <v>35.5</v>
      </c>
      <c r="D58" s="189">
        <v>20.5</v>
      </c>
      <c r="E58" s="195">
        <f t="shared" si="2"/>
        <v>48.5</v>
      </c>
      <c r="G58" s="188" t="s">
        <v>438</v>
      </c>
      <c r="H58" s="189">
        <v>86</v>
      </c>
      <c r="I58" s="189">
        <v>45</v>
      </c>
      <c r="J58" s="189">
        <v>45</v>
      </c>
      <c r="K58" s="195">
        <f t="shared" si="3"/>
        <v>88</v>
      </c>
      <c r="R58" s="191"/>
      <c r="S58" s="191"/>
      <c r="T58" s="191"/>
      <c r="U58" s="191"/>
      <c r="V58" s="191"/>
    </row>
    <row r="59" spans="1:22">
      <c r="A59" s="188" t="s">
        <v>507</v>
      </c>
      <c r="B59" s="189">
        <v>60</v>
      </c>
      <c r="C59" s="189">
        <v>41</v>
      </c>
      <c r="D59" s="189">
        <v>32</v>
      </c>
      <c r="E59" s="195">
        <f t="shared" si="2"/>
        <v>66.5</v>
      </c>
      <c r="G59" s="188" t="s">
        <v>437</v>
      </c>
      <c r="H59" s="189">
        <v>58</v>
      </c>
      <c r="I59" s="189">
        <v>43</v>
      </c>
      <c r="J59" s="189">
        <v>33</v>
      </c>
      <c r="K59" s="195">
        <f t="shared" si="3"/>
        <v>67</v>
      </c>
      <c r="R59" s="191"/>
      <c r="S59" s="191"/>
      <c r="T59" s="191"/>
      <c r="U59" s="191"/>
      <c r="V59" s="191"/>
    </row>
    <row r="60" spans="1:22">
      <c r="A60" s="188" t="s">
        <v>506</v>
      </c>
      <c r="B60" s="189">
        <v>81.5</v>
      </c>
      <c r="C60" s="189">
        <v>42</v>
      </c>
      <c r="D60" s="189">
        <v>48</v>
      </c>
      <c r="E60" s="195">
        <f t="shared" si="2"/>
        <v>85.75</v>
      </c>
      <c r="G60" s="188" t="s">
        <v>436</v>
      </c>
      <c r="H60" s="189">
        <v>80</v>
      </c>
      <c r="I60" s="189">
        <v>46.5</v>
      </c>
      <c r="J60" s="189">
        <v>45</v>
      </c>
      <c r="K60" s="195">
        <f t="shared" si="3"/>
        <v>85.75</v>
      </c>
      <c r="R60" s="191"/>
      <c r="S60" s="191"/>
      <c r="T60" s="191"/>
      <c r="U60" s="191"/>
      <c r="V60" s="191"/>
    </row>
    <row r="61" spans="1:22">
      <c r="A61" s="188" t="s">
        <v>505</v>
      </c>
      <c r="B61" s="189">
        <v>76</v>
      </c>
      <c r="C61" s="189">
        <v>34.5</v>
      </c>
      <c r="D61" s="189">
        <v>32.5</v>
      </c>
      <c r="E61" s="195">
        <f t="shared" si="2"/>
        <v>71.5</v>
      </c>
      <c r="G61" s="188" t="s">
        <v>435</v>
      </c>
      <c r="H61" s="189">
        <v>64</v>
      </c>
      <c r="I61" s="189">
        <v>37.5</v>
      </c>
      <c r="J61" s="189">
        <v>28.5</v>
      </c>
      <c r="K61" s="195">
        <f t="shared" si="3"/>
        <v>65</v>
      </c>
      <c r="R61" s="191"/>
      <c r="S61" s="191"/>
      <c r="T61" s="191"/>
      <c r="U61" s="191"/>
      <c r="V61" s="191"/>
    </row>
    <row r="62" spans="1:22">
      <c r="A62" s="188" t="s">
        <v>504</v>
      </c>
      <c r="B62" s="189">
        <v>82</v>
      </c>
      <c r="C62" s="189">
        <v>28</v>
      </c>
      <c r="D62" s="189">
        <v>27.5</v>
      </c>
      <c r="E62" s="195">
        <f t="shared" si="2"/>
        <v>68.75</v>
      </c>
      <c r="G62" s="188" t="s">
        <v>434</v>
      </c>
      <c r="H62" s="189">
        <v>56</v>
      </c>
      <c r="I62" s="189">
        <v>44</v>
      </c>
      <c r="J62" s="189">
        <v>41</v>
      </c>
      <c r="K62" s="195">
        <f t="shared" si="3"/>
        <v>70.5</v>
      </c>
      <c r="R62" s="191"/>
      <c r="S62" s="191"/>
      <c r="T62" s="191"/>
      <c r="U62" s="191"/>
      <c r="V62" s="191"/>
    </row>
    <row r="63" spans="1:22">
      <c r="A63" s="188" t="s">
        <v>503</v>
      </c>
      <c r="B63" s="189">
        <v>58.5</v>
      </c>
      <c r="C63" s="189">
        <v>43.5</v>
      </c>
      <c r="D63" s="189">
        <v>32.5</v>
      </c>
      <c r="E63" s="195">
        <f t="shared" si="2"/>
        <v>67.25</v>
      </c>
      <c r="G63" s="188" t="s">
        <v>433</v>
      </c>
      <c r="H63" s="189">
        <v>53</v>
      </c>
      <c r="I63" s="189">
        <v>41</v>
      </c>
      <c r="J63" s="189">
        <v>32.5</v>
      </c>
      <c r="K63" s="195">
        <f t="shared" si="3"/>
        <v>63.25</v>
      </c>
      <c r="R63" s="191"/>
      <c r="S63" s="191"/>
      <c r="T63" s="191"/>
      <c r="U63" s="191"/>
      <c r="V63" s="191"/>
    </row>
    <row r="64" spans="1:22">
      <c r="A64" s="188" t="s">
        <v>502</v>
      </c>
      <c r="B64" s="189">
        <v>59</v>
      </c>
      <c r="C64" s="189">
        <v>40</v>
      </c>
      <c r="D64" s="189">
        <v>38</v>
      </c>
      <c r="E64" s="195">
        <f t="shared" si="2"/>
        <v>68.5</v>
      </c>
      <c r="G64" s="188" t="s">
        <v>432</v>
      </c>
      <c r="H64" s="189">
        <v>73</v>
      </c>
      <c r="I64" s="189">
        <v>47.5</v>
      </c>
      <c r="J64" s="189">
        <v>38.5</v>
      </c>
      <c r="K64" s="195">
        <f t="shared" si="3"/>
        <v>79.5</v>
      </c>
      <c r="R64" s="191"/>
      <c r="S64" s="191"/>
      <c r="T64" s="191"/>
      <c r="U64" s="191"/>
      <c r="V64" s="191"/>
    </row>
    <row r="65" spans="1:22">
      <c r="A65" s="188" t="s">
        <v>501</v>
      </c>
      <c r="B65" s="189">
        <v>51.5</v>
      </c>
      <c r="C65" s="189">
        <v>47.5</v>
      </c>
      <c r="D65" s="189">
        <v>37.5</v>
      </c>
      <c r="E65" s="195">
        <f t="shared" si="2"/>
        <v>68.25</v>
      </c>
      <c r="G65" s="188" t="s">
        <v>431</v>
      </c>
      <c r="H65" s="189">
        <v>63.5</v>
      </c>
      <c r="I65" s="189">
        <v>40</v>
      </c>
      <c r="J65" s="189">
        <v>32</v>
      </c>
      <c r="K65" s="195">
        <f t="shared" si="3"/>
        <v>67.75</v>
      </c>
      <c r="R65" s="191"/>
      <c r="S65" s="191"/>
      <c r="T65" s="191"/>
      <c r="U65" s="191"/>
      <c r="V65" s="191"/>
    </row>
    <row r="66" spans="1:22">
      <c r="A66" s="188" t="s">
        <v>500</v>
      </c>
      <c r="B66" s="189">
        <v>43.5</v>
      </c>
      <c r="C66" s="189">
        <v>42.5</v>
      </c>
      <c r="D66" s="189">
        <v>31</v>
      </c>
      <c r="E66" s="195">
        <f t="shared" si="2"/>
        <v>58.5</v>
      </c>
      <c r="G66" s="188" t="s">
        <v>430</v>
      </c>
      <c r="H66" s="189">
        <v>57</v>
      </c>
      <c r="I66" s="189">
        <v>34.5</v>
      </c>
      <c r="J66" s="189">
        <v>35</v>
      </c>
      <c r="K66" s="195">
        <f t="shared" si="3"/>
        <v>63.25</v>
      </c>
      <c r="R66" s="191"/>
      <c r="S66" s="191"/>
      <c r="T66" s="191"/>
      <c r="U66" s="191"/>
      <c r="V66" s="191"/>
    </row>
    <row r="67" spans="1:22">
      <c r="A67" s="188" t="s">
        <v>499</v>
      </c>
      <c r="B67" s="189">
        <v>77.5</v>
      </c>
      <c r="C67" s="189">
        <v>36.5</v>
      </c>
      <c r="D67" s="189">
        <v>29.5</v>
      </c>
      <c r="E67" s="195">
        <f t="shared" si="2"/>
        <v>71.75</v>
      </c>
      <c r="G67" s="188" t="s">
        <v>429</v>
      </c>
      <c r="H67" s="189">
        <v>51</v>
      </c>
      <c r="I67" s="189">
        <v>40</v>
      </c>
      <c r="J67" s="189">
        <v>34.5</v>
      </c>
      <c r="K67" s="195">
        <f t="shared" si="3"/>
        <v>62.75</v>
      </c>
      <c r="R67" s="191"/>
      <c r="S67" s="191"/>
      <c r="T67" s="191"/>
      <c r="U67" s="191"/>
      <c r="V67" s="191"/>
    </row>
    <row r="68" spans="1:22">
      <c r="A68" s="188" t="s">
        <v>498</v>
      </c>
      <c r="B68" s="189">
        <v>63.5</v>
      </c>
      <c r="C68" s="189">
        <v>42.5</v>
      </c>
      <c r="D68" s="189">
        <v>41</v>
      </c>
      <c r="E68" s="195">
        <f t="shared" si="2"/>
        <v>73.5</v>
      </c>
      <c r="G68" s="188" t="s">
        <v>428</v>
      </c>
      <c r="H68" s="189">
        <v>63</v>
      </c>
      <c r="I68" s="189">
        <v>35</v>
      </c>
      <c r="J68" s="189">
        <v>31.5</v>
      </c>
      <c r="K68" s="195">
        <f t="shared" si="3"/>
        <v>64.75</v>
      </c>
      <c r="R68" s="191"/>
      <c r="S68" s="191"/>
      <c r="T68" s="191"/>
      <c r="U68" s="191"/>
      <c r="V68" s="191"/>
    </row>
    <row r="69" spans="1:22">
      <c r="A69" s="188" t="s">
        <v>497</v>
      </c>
      <c r="B69" s="189">
        <v>75.5</v>
      </c>
      <c r="C69" s="189">
        <v>36.5</v>
      </c>
      <c r="D69" s="189">
        <v>37</v>
      </c>
      <c r="E69" s="195">
        <f t="shared" si="2"/>
        <v>74.5</v>
      </c>
      <c r="G69" s="188" t="s">
        <v>427</v>
      </c>
      <c r="H69" s="189">
        <v>78.5</v>
      </c>
      <c r="I69" s="189">
        <v>40.5</v>
      </c>
      <c r="J69" s="189">
        <v>46.5</v>
      </c>
      <c r="K69" s="195">
        <f t="shared" si="3"/>
        <v>82.75</v>
      </c>
      <c r="R69" s="191"/>
      <c r="S69" s="191"/>
      <c r="T69" s="191"/>
      <c r="U69" s="191"/>
      <c r="V69" s="191"/>
    </row>
    <row r="70" spans="1:22">
      <c r="A70" s="188" t="s">
        <v>496</v>
      </c>
      <c r="B70" s="189">
        <v>72</v>
      </c>
      <c r="C70" s="189">
        <v>37.5</v>
      </c>
      <c r="D70" s="189">
        <v>26.5</v>
      </c>
      <c r="E70" s="195">
        <f t="shared" si="2"/>
        <v>68</v>
      </c>
      <c r="G70" s="188" t="s">
        <v>426</v>
      </c>
      <c r="H70" s="189">
        <v>81</v>
      </c>
      <c r="I70" s="189">
        <v>39.5</v>
      </c>
      <c r="J70" s="189">
        <v>34</v>
      </c>
      <c r="K70" s="195">
        <f t="shared" si="3"/>
        <v>77.25</v>
      </c>
      <c r="R70" s="191"/>
      <c r="S70" s="191"/>
      <c r="T70" s="191"/>
      <c r="U70" s="191"/>
      <c r="V70" s="191"/>
    </row>
    <row r="71" spans="1:22">
      <c r="A71" s="188" t="s">
        <v>495</v>
      </c>
      <c r="B71" s="189">
        <v>78.5</v>
      </c>
      <c r="C71" s="189">
        <v>44</v>
      </c>
      <c r="D71" s="189">
        <v>39.5</v>
      </c>
      <c r="E71" s="195">
        <f t="shared" si="2"/>
        <v>81</v>
      </c>
      <c r="G71" s="188" t="s">
        <v>425</v>
      </c>
      <c r="H71" s="189">
        <v>81.5</v>
      </c>
      <c r="I71" s="189">
        <v>37</v>
      </c>
      <c r="J71" s="189">
        <v>35.5</v>
      </c>
      <c r="K71" s="195">
        <f t="shared" si="3"/>
        <v>77</v>
      </c>
      <c r="R71" s="191"/>
      <c r="S71" s="191"/>
      <c r="T71" s="191"/>
      <c r="U71" s="191"/>
      <c r="V71" s="191"/>
    </row>
    <row r="72" spans="1:22">
      <c r="A72" s="188" t="s">
        <v>494</v>
      </c>
      <c r="B72" s="189">
        <v>66.5</v>
      </c>
      <c r="C72" s="189">
        <v>42</v>
      </c>
      <c r="D72" s="189">
        <v>29</v>
      </c>
      <c r="E72" s="195">
        <f t="shared" ref="E72:E77" si="4">0.5*(B72+C72+D72)</f>
        <v>68.75</v>
      </c>
      <c r="G72" s="188" t="s">
        <v>424</v>
      </c>
      <c r="H72" s="189">
        <v>74</v>
      </c>
      <c r="I72" s="189">
        <v>40.5</v>
      </c>
      <c r="J72" s="189">
        <v>39.5</v>
      </c>
      <c r="K72" s="195">
        <f t="shared" ref="K72:K77" si="5">0.5*(H72+I72+J72)</f>
        <v>77</v>
      </c>
      <c r="R72" s="191"/>
      <c r="S72" s="191"/>
      <c r="T72" s="191"/>
      <c r="U72" s="191"/>
      <c r="V72" s="191"/>
    </row>
    <row r="73" spans="1:22">
      <c r="A73" s="188" t="s">
        <v>493</v>
      </c>
      <c r="B73" s="189">
        <v>69.5</v>
      </c>
      <c r="C73" s="189">
        <v>35</v>
      </c>
      <c r="D73" s="189">
        <v>39.5</v>
      </c>
      <c r="E73" s="195">
        <f t="shared" si="4"/>
        <v>72</v>
      </c>
      <c r="G73" s="188" t="s">
        <v>423</v>
      </c>
      <c r="H73" s="189">
        <v>46.5</v>
      </c>
      <c r="I73" s="189">
        <v>46</v>
      </c>
      <c r="J73" s="189">
        <v>26.5</v>
      </c>
      <c r="K73" s="195">
        <f t="shared" si="5"/>
        <v>59.5</v>
      </c>
      <c r="R73" s="191"/>
      <c r="S73" s="191"/>
      <c r="T73" s="191"/>
      <c r="U73" s="191"/>
      <c r="V73" s="191"/>
    </row>
    <row r="74" spans="1:22">
      <c r="A74" s="188" t="s">
        <v>492</v>
      </c>
      <c r="B74" s="189">
        <v>58</v>
      </c>
      <c r="C74" s="189">
        <v>40.5</v>
      </c>
      <c r="D74" s="189">
        <v>31</v>
      </c>
      <c r="E74" s="195">
        <f t="shared" si="4"/>
        <v>64.75</v>
      </c>
      <c r="G74" s="188" t="s">
        <v>422</v>
      </c>
      <c r="H74" s="189">
        <v>65.5</v>
      </c>
      <c r="I74" s="189">
        <v>41</v>
      </c>
      <c r="J74" s="189">
        <v>30.5</v>
      </c>
      <c r="K74" s="195">
        <f t="shared" si="5"/>
        <v>68.5</v>
      </c>
      <c r="R74" s="191"/>
      <c r="S74" s="191"/>
      <c r="T74" s="191"/>
      <c r="U74" s="191"/>
      <c r="V74" s="191"/>
    </row>
    <row r="75" spans="1:22">
      <c r="A75" s="188" t="s">
        <v>491</v>
      </c>
      <c r="B75" s="189">
        <v>47</v>
      </c>
      <c r="C75" s="189">
        <v>33</v>
      </c>
      <c r="D75" s="189">
        <v>30</v>
      </c>
      <c r="E75" s="195">
        <f t="shared" si="4"/>
        <v>55</v>
      </c>
      <c r="G75" s="188" t="s">
        <v>421</v>
      </c>
      <c r="H75" s="189">
        <v>56.5</v>
      </c>
      <c r="I75" s="189">
        <v>37.5</v>
      </c>
      <c r="J75" s="189">
        <v>29.5</v>
      </c>
      <c r="K75" s="195">
        <f t="shared" si="5"/>
        <v>61.75</v>
      </c>
      <c r="R75" s="191"/>
      <c r="S75" s="191"/>
      <c r="T75" s="191"/>
      <c r="U75" s="191"/>
      <c r="V75" s="191"/>
    </row>
    <row r="76" spans="1:22">
      <c r="A76" s="188" t="s">
        <v>490</v>
      </c>
      <c r="B76" s="189">
        <v>78</v>
      </c>
      <c r="C76" s="189">
        <v>41.5</v>
      </c>
      <c r="D76" s="189">
        <v>41.5</v>
      </c>
      <c r="E76" s="195">
        <f t="shared" si="4"/>
        <v>80.5</v>
      </c>
      <c r="G76" s="188" t="s">
        <v>420</v>
      </c>
      <c r="H76" s="189">
        <v>63</v>
      </c>
      <c r="I76" s="189">
        <v>42.5</v>
      </c>
      <c r="J76" s="189">
        <v>33.5</v>
      </c>
      <c r="K76" s="195">
        <f t="shared" si="5"/>
        <v>69.5</v>
      </c>
      <c r="R76" s="191"/>
      <c r="S76" s="191"/>
      <c r="T76" s="191"/>
      <c r="U76" s="191"/>
      <c r="V76" s="191"/>
    </row>
    <row r="77" spans="1:22">
      <c r="A77" s="188" t="s">
        <v>489</v>
      </c>
      <c r="B77" s="189">
        <v>72</v>
      </c>
      <c r="C77" s="189">
        <v>45.5</v>
      </c>
      <c r="D77" s="189">
        <v>46.5</v>
      </c>
      <c r="E77" s="195">
        <f t="shared" si="4"/>
        <v>82</v>
      </c>
      <c r="G77" s="188" t="s">
        <v>419</v>
      </c>
      <c r="H77" s="189">
        <v>42.5</v>
      </c>
      <c r="I77" s="189">
        <v>24</v>
      </c>
      <c r="J77" s="189">
        <v>24</v>
      </c>
      <c r="K77" s="195">
        <f t="shared" si="5"/>
        <v>45.25</v>
      </c>
      <c r="R77" s="191"/>
      <c r="S77" s="191"/>
      <c r="T77" s="191"/>
      <c r="U77" s="191"/>
      <c r="V77" s="191"/>
    </row>
    <row r="78" spans="1:22">
      <c r="R78" s="191"/>
      <c r="S78" s="191"/>
      <c r="T78" s="191"/>
      <c r="U78" s="191"/>
      <c r="V78" s="191"/>
    </row>
    <row r="79" spans="1:22" ht="14.25">
      <c r="A79" s="190" t="s">
        <v>1130</v>
      </c>
      <c r="D79" s="190"/>
      <c r="R79" s="191"/>
      <c r="S79" s="191"/>
      <c r="T79" s="191"/>
      <c r="U79" s="191"/>
      <c r="V79" s="191"/>
    </row>
    <row r="80" spans="1:22">
      <c r="A80" s="21" t="s">
        <v>1131</v>
      </c>
      <c r="R80" s="191"/>
      <c r="S80" s="191"/>
      <c r="T80" s="191"/>
      <c r="U80" s="191"/>
      <c r="V80" s="191"/>
    </row>
    <row r="81" spans="1:22">
      <c r="R81" s="191"/>
      <c r="S81" s="191"/>
      <c r="T81" s="191"/>
      <c r="U81" s="191"/>
      <c r="V81" s="191"/>
    </row>
    <row r="82" spans="1:22">
      <c r="A82" s="21" t="s">
        <v>1133</v>
      </c>
      <c r="R82" s="191"/>
      <c r="S82" s="191"/>
      <c r="T82" s="191"/>
      <c r="U82" s="191"/>
      <c r="V82" s="191"/>
    </row>
    <row r="83" spans="1:22">
      <c r="A83" s="22" t="s">
        <v>1132</v>
      </c>
      <c r="R83" s="191"/>
      <c r="S83" s="191"/>
      <c r="T83" s="191"/>
      <c r="U83" s="191"/>
      <c r="V83" s="191"/>
    </row>
    <row r="84" spans="1:22">
      <c r="R84" s="191"/>
      <c r="S84" s="191"/>
      <c r="T84" s="191"/>
      <c r="U84" s="191"/>
      <c r="V84" s="191"/>
    </row>
    <row r="85" spans="1:22">
      <c r="R85" s="191"/>
      <c r="S85" s="191"/>
      <c r="T85" s="191"/>
      <c r="U85" s="191"/>
      <c r="V85" s="191"/>
    </row>
    <row r="86" spans="1:22">
      <c r="R86" s="191"/>
      <c r="S86" s="191"/>
      <c r="T86" s="191"/>
      <c r="U86" s="191"/>
      <c r="V86" s="191"/>
    </row>
    <row r="87" spans="1:22">
      <c r="R87" s="191"/>
      <c r="S87" s="191"/>
      <c r="T87" s="191"/>
      <c r="U87" s="191"/>
      <c r="V87" s="191"/>
    </row>
    <row r="88" spans="1:22">
      <c r="R88" s="191"/>
      <c r="S88" s="191"/>
      <c r="T88" s="191"/>
      <c r="U88" s="191"/>
      <c r="V88" s="191"/>
    </row>
    <row r="89" spans="1:22">
      <c r="R89" s="191"/>
      <c r="S89" s="191"/>
      <c r="T89" s="191"/>
      <c r="U89" s="191"/>
      <c r="V89" s="191"/>
    </row>
    <row r="90" spans="1:22">
      <c r="R90" s="191"/>
      <c r="S90" s="191"/>
      <c r="T90" s="191"/>
      <c r="U90" s="191"/>
      <c r="V90" s="191"/>
    </row>
    <row r="91" spans="1:22">
      <c r="R91" s="191"/>
      <c r="S91" s="191"/>
      <c r="T91" s="191"/>
      <c r="U91" s="191"/>
      <c r="V91" s="191"/>
    </row>
    <row r="92" spans="1:22">
      <c r="R92" s="191"/>
      <c r="S92" s="191"/>
      <c r="T92" s="191"/>
      <c r="U92" s="191"/>
      <c r="V92" s="191"/>
    </row>
    <row r="93" spans="1:22">
      <c r="R93" s="191"/>
      <c r="S93" s="191"/>
      <c r="T93" s="191"/>
      <c r="U93" s="191"/>
      <c r="V93" s="191"/>
    </row>
    <row r="94" spans="1:22">
      <c r="R94" s="191"/>
      <c r="S94" s="191"/>
      <c r="T94" s="191"/>
      <c r="U94" s="191"/>
      <c r="V94" s="191"/>
    </row>
    <row r="95" spans="1:22">
      <c r="R95" s="191"/>
      <c r="S95" s="191"/>
      <c r="T95" s="191"/>
      <c r="U95" s="191"/>
      <c r="V95" s="191"/>
    </row>
    <row r="96" spans="1:22">
      <c r="R96" s="191"/>
      <c r="S96" s="191"/>
      <c r="T96" s="191"/>
      <c r="U96" s="191"/>
      <c r="V96" s="191"/>
    </row>
    <row r="97" spans="18:22">
      <c r="R97" s="191"/>
      <c r="S97" s="191"/>
      <c r="T97" s="191"/>
      <c r="U97" s="191"/>
      <c r="V97" s="191"/>
    </row>
    <row r="98" spans="18:22">
      <c r="R98" s="191"/>
      <c r="S98" s="191"/>
      <c r="T98" s="191"/>
      <c r="U98" s="191"/>
      <c r="V98" s="191"/>
    </row>
    <row r="99" spans="18:22">
      <c r="R99" s="191"/>
      <c r="S99" s="191"/>
      <c r="T99" s="191"/>
      <c r="U99" s="191"/>
      <c r="V99" s="191"/>
    </row>
    <row r="100" spans="18:22">
      <c r="R100" s="191"/>
      <c r="S100" s="191"/>
      <c r="T100" s="191"/>
      <c r="U100" s="191"/>
      <c r="V100" s="191"/>
    </row>
    <row r="101" spans="18:22">
      <c r="R101" s="191"/>
      <c r="S101" s="191"/>
      <c r="T101" s="191"/>
      <c r="U101" s="191"/>
      <c r="V101" s="191"/>
    </row>
    <row r="102" spans="18:22">
      <c r="R102" s="191"/>
      <c r="S102" s="191"/>
      <c r="T102" s="191"/>
      <c r="U102" s="191"/>
      <c r="V102" s="191"/>
    </row>
    <row r="103" spans="18:22">
      <c r="R103" s="191"/>
      <c r="S103" s="191"/>
      <c r="T103" s="191"/>
      <c r="U103" s="191"/>
      <c r="V103" s="191"/>
    </row>
    <row r="104" spans="18:22">
      <c r="R104" s="191"/>
      <c r="S104" s="191"/>
      <c r="T104" s="191"/>
      <c r="U104" s="191"/>
      <c r="V104" s="191"/>
    </row>
    <row r="105" spans="18:22">
      <c r="R105" s="191"/>
      <c r="S105" s="191"/>
      <c r="T105" s="191"/>
      <c r="U105" s="191"/>
      <c r="V105" s="191"/>
    </row>
    <row r="106" spans="18:22">
      <c r="R106" s="191"/>
      <c r="S106" s="191"/>
      <c r="T106" s="191"/>
      <c r="U106" s="191"/>
      <c r="V106" s="191"/>
    </row>
    <row r="107" spans="18:22">
      <c r="R107" s="191"/>
      <c r="S107" s="191"/>
      <c r="T107" s="191"/>
      <c r="U107" s="191"/>
      <c r="V107" s="191"/>
    </row>
    <row r="108" spans="18:22">
      <c r="R108" s="191"/>
      <c r="S108" s="191"/>
      <c r="T108" s="191"/>
      <c r="U108" s="191"/>
      <c r="V108" s="191"/>
    </row>
    <row r="109" spans="18:22">
      <c r="R109" s="191"/>
      <c r="S109" s="191"/>
      <c r="T109" s="191"/>
      <c r="U109" s="191"/>
      <c r="V109" s="191"/>
    </row>
    <row r="172" spans="2:22">
      <c r="B172" s="21"/>
      <c r="F172" s="21"/>
      <c r="R172" s="191"/>
      <c r="S172" s="191"/>
      <c r="T172" s="191"/>
      <c r="U172" s="191"/>
      <c r="V172" s="191"/>
    </row>
    <row r="173" spans="2:22">
      <c r="R173" s="191"/>
      <c r="S173" s="191"/>
      <c r="T173" s="191"/>
      <c r="U173" s="191"/>
      <c r="V173" s="191"/>
    </row>
    <row r="174" spans="2:22">
      <c r="B174" s="21"/>
      <c r="R174" s="191"/>
      <c r="S174" s="191"/>
      <c r="T174" s="191"/>
      <c r="U174" s="191"/>
      <c r="V174" s="191"/>
    </row>
    <row r="175" spans="2:22" ht="20.25">
      <c r="I175" s="192"/>
    </row>
    <row r="176" spans="2:22">
      <c r="B176" s="21"/>
    </row>
    <row r="178" spans="6:9">
      <c r="F178" s="21"/>
    </row>
    <row r="184" spans="6:9" ht="20.25">
      <c r="I184" s="192"/>
    </row>
    <row r="187" spans="6:9">
      <c r="F187" s="21"/>
    </row>
  </sheetData>
  <mergeCells count="6">
    <mergeCell ref="H4:K4"/>
    <mergeCell ref="K6:K7"/>
    <mergeCell ref="A4:A7"/>
    <mergeCell ref="B4:E4"/>
    <mergeCell ref="G4:G7"/>
    <mergeCell ref="E6:E7"/>
  </mergeCells>
  <phoneticPr fontId="114" type="noConversion"/>
  <pageMargins left="0.70866141732283472" right="0.70866141732283472" top="0.74803149606299213" bottom="0.74803149606299213" header="0.31496062992125984" footer="0.31496062992125984"/>
  <pageSetup paperSize="9" scale="57" fitToHeight="10"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G105"/>
  <sheetViews>
    <sheetView topLeftCell="A64" workbookViewId="0">
      <selection sqref="A1:G107"/>
    </sheetView>
  </sheetViews>
  <sheetFormatPr defaultColWidth="12.42578125" defaultRowHeight="15.75"/>
  <cols>
    <col min="1" max="1" width="31" style="516" customWidth="1"/>
    <col min="2" max="6" width="15.7109375" style="516" customWidth="1"/>
    <col min="7" max="7" width="24.7109375" style="516" customWidth="1"/>
    <col min="8" max="16384" width="12.42578125" style="516"/>
  </cols>
  <sheetData>
    <row r="1" spans="1:7" ht="18.75">
      <c r="A1" s="945" t="s">
        <v>1366</v>
      </c>
    </row>
    <row r="2" spans="1:7" ht="18.75">
      <c r="A2" s="1021"/>
    </row>
    <row r="3" spans="1:7">
      <c r="A3" s="516" t="s">
        <v>1367</v>
      </c>
      <c r="E3" s="516" t="s">
        <v>1365</v>
      </c>
    </row>
    <row r="5" spans="1:7" s="591" customFormat="1" ht="39.75" customHeight="1">
      <c r="A5" s="1137" t="s">
        <v>159</v>
      </c>
      <c r="B5" s="1137" t="s">
        <v>1105</v>
      </c>
      <c r="C5" s="1137" t="s">
        <v>208</v>
      </c>
      <c r="D5" s="1137" t="s">
        <v>707</v>
      </c>
      <c r="E5" s="1137" t="s">
        <v>701</v>
      </c>
      <c r="F5" s="1137" t="s">
        <v>209</v>
      </c>
      <c r="G5" s="1136" t="s">
        <v>210</v>
      </c>
    </row>
    <row r="6" spans="1:7" ht="11.1" customHeight="1">
      <c r="A6" s="589" t="s">
        <v>1106</v>
      </c>
      <c r="B6" s="517">
        <v>2.02</v>
      </c>
      <c r="C6" s="517">
        <v>0.43259999999999998</v>
      </c>
      <c r="D6" s="517">
        <v>0.10730000000000001</v>
      </c>
      <c r="E6" s="517">
        <v>1.46</v>
      </c>
      <c r="F6" s="517">
        <v>0.16600000000000001</v>
      </c>
      <c r="G6" s="517">
        <v>1.75</v>
      </c>
    </row>
    <row r="7" spans="1:7" ht="11.1" customHeight="1">
      <c r="A7" s="589" t="s">
        <v>1107</v>
      </c>
      <c r="B7" s="517">
        <v>1.1000000000000001</v>
      </c>
      <c r="C7" s="517">
        <v>0.25659999999999999</v>
      </c>
      <c r="D7" s="517">
        <v>0.2072</v>
      </c>
      <c r="E7" s="517">
        <v>0.91</v>
      </c>
      <c r="F7" s="517">
        <v>0.11840000000000001</v>
      </c>
      <c r="G7" s="517">
        <v>1.03</v>
      </c>
    </row>
    <row r="8" spans="1:7" ht="11.1" customHeight="1">
      <c r="A8" s="589" t="s">
        <v>1108</v>
      </c>
      <c r="B8" s="517">
        <v>1.21</v>
      </c>
      <c r="C8" s="517">
        <v>0.2432</v>
      </c>
      <c r="D8" s="517">
        <v>0.2054</v>
      </c>
      <c r="E8" s="517">
        <v>1.02</v>
      </c>
      <c r="F8" s="517">
        <v>7.6100000000000001E-2</v>
      </c>
      <c r="G8" s="517">
        <v>1.1000000000000001</v>
      </c>
    </row>
    <row r="9" spans="1:7" ht="11.1" customHeight="1">
      <c r="A9" s="589" t="s">
        <v>1109</v>
      </c>
      <c r="B9" s="517">
        <v>1.3</v>
      </c>
      <c r="C9" s="517">
        <v>0.18379999999999999</v>
      </c>
      <c r="D9" s="517">
        <v>0.1608</v>
      </c>
      <c r="E9" s="517">
        <v>1.1299999999999999</v>
      </c>
      <c r="F9" s="517">
        <v>7.8899999999999998E-2</v>
      </c>
      <c r="G9" s="517">
        <v>1.22</v>
      </c>
    </row>
    <row r="10" spans="1:7" ht="11.1" customHeight="1">
      <c r="A10" s="589" t="s">
        <v>1110</v>
      </c>
      <c r="B10" s="517">
        <v>1.7</v>
      </c>
      <c r="C10" s="517">
        <v>0.27650000000000002</v>
      </c>
      <c r="D10" s="517">
        <v>0.18990000000000001</v>
      </c>
      <c r="E10" s="517">
        <v>1.39</v>
      </c>
      <c r="F10" s="517">
        <v>0.1246</v>
      </c>
      <c r="G10" s="517">
        <v>1.59</v>
      </c>
    </row>
    <row r="11" spans="1:7" ht="11.1" customHeight="1">
      <c r="A11" s="589" t="s">
        <v>211</v>
      </c>
      <c r="B11" s="517">
        <v>1.59</v>
      </c>
      <c r="C11" s="517">
        <v>1.3456999999999999</v>
      </c>
      <c r="D11" s="517">
        <v>0.2407</v>
      </c>
      <c r="E11" s="517">
        <v>0.79</v>
      </c>
      <c r="F11" s="517">
        <v>0.1777</v>
      </c>
      <c r="G11" s="517">
        <v>0.96</v>
      </c>
    </row>
    <row r="12" spans="1:7" ht="11.1" customHeight="1">
      <c r="A12" s="589" t="s">
        <v>1111</v>
      </c>
      <c r="B12" s="517">
        <v>0.77</v>
      </c>
      <c r="C12" s="517">
        <v>1.5610999999999999</v>
      </c>
      <c r="D12" s="517">
        <v>0.15970000000000001</v>
      </c>
      <c r="E12" s="517">
        <v>0.33</v>
      </c>
      <c r="F12" s="517">
        <v>0.11409999999999999</v>
      </c>
      <c r="G12" s="517">
        <v>0.38</v>
      </c>
    </row>
    <row r="13" spans="1:7" ht="11.1" customHeight="1">
      <c r="A13" s="589" t="s">
        <v>212</v>
      </c>
      <c r="B13" s="517">
        <v>0.93</v>
      </c>
      <c r="C13" s="517">
        <v>0.59519999999999995</v>
      </c>
      <c r="D13" s="517">
        <v>0.1777</v>
      </c>
      <c r="E13" s="517">
        <v>0.63</v>
      </c>
      <c r="F13" s="517">
        <v>0.14130000000000001</v>
      </c>
      <c r="G13" s="517">
        <v>0.73</v>
      </c>
    </row>
    <row r="14" spans="1:7" ht="11.1" customHeight="1">
      <c r="A14" s="589" t="s">
        <v>213</v>
      </c>
      <c r="B14" s="517">
        <v>0.88</v>
      </c>
      <c r="C14" s="517">
        <v>0.26519999999999999</v>
      </c>
      <c r="D14" s="517">
        <v>0.19139999999999999</v>
      </c>
      <c r="E14" s="517">
        <v>0.73</v>
      </c>
      <c r="F14" s="517">
        <v>5.0900000000000001E-2</v>
      </c>
      <c r="G14" s="517">
        <v>0.77</v>
      </c>
    </row>
    <row r="15" spans="1:7" ht="11.1" customHeight="1">
      <c r="A15" s="589" t="s">
        <v>1112</v>
      </c>
      <c r="B15" s="517">
        <v>1.03</v>
      </c>
      <c r="C15" s="517">
        <v>0.1348</v>
      </c>
      <c r="D15" s="517">
        <v>2.4899999999999999E-2</v>
      </c>
      <c r="E15" s="517">
        <v>0.91</v>
      </c>
      <c r="F15" s="517">
        <v>0.2145</v>
      </c>
      <c r="G15" s="517">
        <v>1.1599999999999999</v>
      </c>
    </row>
    <row r="16" spans="1:7" ht="11.1" customHeight="1">
      <c r="A16" s="589" t="s">
        <v>1113</v>
      </c>
      <c r="B16" s="517">
        <v>1.5</v>
      </c>
      <c r="C16" s="517">
        <v>0.94330000000000003</v>
      </c>
      <c r="D16" s="517">
        <v>0.11169999999999999</v>
      </c>
      <c r="E16" s="517">
        <v>0.82</v>
      </c>
      <c r="F16" s="517">
        <v>7.7499999999999999E-2</v>
      </c>
      <c r="G16" s="517">
        <v>0.89</v>
      </c>
    </row>
    <row r="17" spans="1:7" ht="11.1" customHeight="1">
      <c r="A17" s="589" t="s">
        <v>1114</v>
      </c>
      <c r="B17" s="517">
        <v>1.37</v>
      </c>
      <c r="C17" s="517">
        <v>0.68059999999999998</v>
      </c>
      <c r="D17" s="517">
        <v>0.27350000000000002</v>
      </c>
      <c r="E17" s="517">
        <v>0.92</v>
      </c>
      <c r="F17" s="517">
        <v>6.13E-2</v>
      </c>
      <c r="G17" s="517">
        <v>0.98</v>
      </c>
    </row>
    <row r="18" spans="1:7" ht="11.1" customHeight="1">
      <c r="A18" s="589" t="s">
        <v>1115</v>
      </c>
      <c r="B18" s="517">
        <v>1.36</v>
      </c>
      <c r="C18" s="517">
        <v>0.27350000000000002</v>
      </c>
      <c r="D18" s="517">
        <v>0.20899999999999999</v>
      </c>
      <c r="E18" s="517">
        <v>1.1200000000000001</v>
      </c>
      <c r="F18" s="517">
        <v>9.6600000000000005E-2</v>
      </c>
      <c r="G18" s="517">
        <v>1.24</v>
      </c>
    </row>
    <row r="19" spans="1:7" ht="11.1" customHeight="1">
      <c r="A19" s="589" t="s">
        <v>1116</v>
      </c>
      <c r="B19" s="517">
        <v>1.51</v>
      </c>
      <c r="C19" s="517">
        <v>0.22370000000000001</v>
      </c>
      <c r="D19" s="517">
        <v>0.21729999999999999</v>
      </c>
      <c r="E19" s="517">
        <v>1.29</v>
      </c>
      <c r="F19" s="517">
        <v>7.4200000000000002E-2</v>
      </c>
      <c r="G19" s="517">
        <v>1.39</v>
      </c>
    </row>
    <row r="20" spans="1:7" ht="11.1" customHeight="1">
      <c r="A20" s="589" t="s">
        <v>1117</v>
      </c>
      <c r="B20" s="517">
        <v>1.28</v>
      </c>
      <c r="C20" s="517">
        <v>0.21149999999999999</v>
      </c>
      <c r="D20" s="517">
        <v>0.17580000000000001</v>
      </c>
      <c r="E20" s="517">
        <v>1.0900000000000001</v>
      </c>
      <c r="F20" s="517">
        <v>5.2900000000000003E-2</v>
      </c>
      <c r="G20" s="517">
        <v>1.1499999999999999</v>
      </c>
    </row>
    <row r="21" spans="1:7" ht="11.1" customHeight="1">
      <c r="A21" s="589" t="s">
        <v>214</v>
      </c>
      <c r="B21" s="517">
        <v>1.53</v>
      </c>
      <c r="C21" s="517">
        <v>0.28899999999999998</v>
      </c>
      <c r="D21" s="517">
        <v>0.1275</v>
      </c>
      <c r="E21" s="517">
        <v>1.22</v>
      </c>
      <c r="F21" s="517">
        <v>7.6600000000000001E-2</v>
      </c>
      <c r="G21" s="517">
        <v>1.32</v>
      </c>
    </row>
    <row r="22" spans="1:7" ht="11.1" customHeight="1">
      <c r="A22" s="589" t="s">
        <v>1118</v>
      </c>
      <c r="B22" s="517">
        <v>1.04</v>
      </c>
      <c r="C22" s="517">
        <v>7.4899999999999994E-2</v>
      </c>
      <c r="D22" s="517">
        <v>0.1227</v>
      </c>
      <c r="E22" s="517">
        <v>0.98</v>
      </c>
      <c r="F22" s="517">
        <v>0.1716</v>
      </c>
      <c r="G22" s="517">
        <v>1.18</v>
      </c>
    </row>
    <row r="23" spans="1:7" ht="11.1" customHeight="1">
      <c r="A23" s="589" t="s">
        <v>1119</v>
      </c>
      <c r="B23" s="517">
        <v>1.3</v>
      </c>
      <c r="C23" s="517">
        <v>0.1023</v>
      </c>
      <c r="D23" s="517">
        <v>0.1177</v>
      </c>
      <c r="E23" s="517">
        <v>1.19</v>
      </c>
      <c r="F23" s="517">
        <v>0.1067</v>
      </c>
      <c r="G23" s="517">
        <v>1.33</v>
      </c>
    </row>
    <row r="24" spans="1:7" ht="11.1" customHeight="1">
      <c r="A24" s="589" t="s">
        <v>215</v>
      </c>
      <c r="B24" s="517">
        <v>1.1399999999999999</v>
      </c>
      <c r="C24" s="517">
        <v>1.0224</v>
      </c>
      <c r="D24" s="517">
        <v>0.1555</v>
      </c>
      <c r="E24" s="517">
        <v>0.61</v>
      </c>
      <c r="F24" s="517">
        <v>0.1429</v>
      </c>
      <c r="G24" s="517">
        <v>0.71</v>
      </c>
    </row>
    <row r="25" spans="1:7" ht="11.1" customHeight="1">
      <c r="A25" s="589" t="s">
        <v>216</v>
      </c>
      <c r="B25" s="517">
        <v>1.1200000000000001</v>
      </c>
      <c r="C25" s="517">
        <v>0.15459999999999999</v>
      </c>
      <c r="D25" s="517">
        <v>5.3600000000000002E-2</v>
      </c>
      <c r="E25" s="517">
        <v>0.98</v>
      </c>
      <c r="F25" s="517">
        <v>9.1800000000000007E-2</v>
      </c>
      <c r="G25" s="517">
        <v>1.08</v>
      </c>
    </row>
    <row r="26" spans="1:7" ht="11.1" customHeight="1">
      <c r="A26" s="589" t="s">
        <v>217</v>
      </c>
      <c r="B26" s="517">
        <v>1.03</v>
      </c>
      <c r="C26" s="517">
        <v>6.4000000000000001E-2</v>
      </c>
      <c r="D26" s="517">
        <v>0.12330000000000001</v>
      </c>
      <c r="E26" s="517">
        <v>0.97</v>
      </c>
      <c r="F26" s="517">
        <v>0.1022</v>
      </c>
      <c r="G26" s="517">
        <v>1.08</v>
      </c>
    </row>
    <row r="27" spans="1:7" ht="11.1" customHeight="1">
      <c r="A27" s="589" t="s">
        <v>1120</v>
      </c>
      <c r="B27" s="517">
        <v>0.83</v>
      </c>
      <c r="C27" s="517">
        <v>0.12330000000000001</v>
      </c>
      <c r="D27" s="517">
        <v>0.25169999999999998</v>
      </c>
      <c r="E27" s="517">
        <v>0.76</v>
      </c>
      <c r="F27" s="517">
        <v>0.16550000000000001</v>
      </c>
      <c r="G27" s="517">
        <v>0.92</v>
      </c>
    </row>
    <row r="28" spans="1:7" ht="11.1" customHeight="1">
      <c r="A28" s="589" t="s">
        <v>218</v>
      </c>
      <c r="B28" s="517">
        <v>0.75</v>
      </c>
      <c r="C28" s="517">
        <v>0.86160000000000003</v>
      </c>
      <c r="D28" s="517">
        <v>0.31819999999999998</v>
      </c>
      <c r="E28" s="517">
        <v>0.47</v>
      </c>
      <c r="F28" s="517">
        <v>1.7100000000000001E-2</v>
      </c>
      <c r="G28" s="517">
        <v>0.48</v>
      </c>
    </row>
    <row r="29" spans="1:7" ht="11.1" customHeight="1">
      <c r="A29" s="589" t="s">
        <v>219</v>
      </c>
      <c r="B29" s="517">
        <v>0.7</v>
      </c>
      <c r="C29" s="517">
        <v>0.66159999999999997</v>
      </c>
      <c r="D29" s="517">
        <v>0.33139999999999997</v>
      </c>
      <c r="E29" s="517">
        <v>0.48</v>
      </c>
      <c r="F29" s="517">
        <v>2.0899999999999998E-2</v>
      </c>
      <c r="G29" s="517">
        <v>0.49</v>
      </c>
    </row>
    <row r="30" spans="1:7" ht="11.1" customHeight="1">
      <c r="A30" s="589" t="s">
        <v>220</v>
      </c>
      <c r="B30" s="517">
        <v>0.75</v>
      </c>
      <c r="C30" s="517">
        <v>0.84540000000000004</v>
      </c>
      <c r="D30" s="517">
        <v>0.313</v>
      </c>
      <c r="E30" s="517">
        <v>0.47</v>
      </c>
      <c r="F30" s="517">
        <v>2.5700000000000001E-2</v>
      </c>
      <c r="G30" s="517">
        <v>0.49</v>
      </c>
    </row>
    <row r="31" spans="1:7" ht="11.1" customHeight="1">
      <c r="A31" s="589" t="s">
        <v>1121</v>
      </c>
      <c r="B31" s="517">
        <v>1.33</v>
      </c>
      <c r="C31" s="517">
        <v>0.12659999999999999</v>
      </c>
      <c r="D31" s="517">
        <v>0.17019999999999999</v>
      </c>
      <c r="E31" s="517">
        <v>1.2</v>
      </c>
      <c r="F31" s="517">
        <v>0.1132</v>
      </c>
      <c r="G31" s="517">
        <v>1.35</v>
      </c>
    </row>
    <row r="32" spans="1:7" ht="11.1" customHeight="1">
      <c r="A32" s="589" t="s">
        <v>1122</v>
      </c>
      <c r="B32" s="517">
        <v>1.07</v>
      </c>
      <c r="C32" s="517">
        <v>0.2233</v>
      </c>
      <c r="D32" s="517">
        <v>0.1036</v>
      </c>
      <c r="E32" s="517">
        <v>0.89</v>
      </c>
      <c r="F32" s="517">
        <v>0.17780000000000001</v>
      </c>
      <c r="G32" s="517">
        <v>1.08</v>
      </c>
    </row>
    <row r="33" spans="1:7" ht="11.1" customHeight="1">
      <c r="A33" s="589" t="s">
        <v>221</v>
      </c>
      <c r="B33" s="517">
        <v>1.22</v>
      </c>
      <c r="C33" s="517">
        <v>0.11990000000000001</v>
      </c>
      <c r="D33" s="517">
        <v>0.2626</v>
      </c>
      <c r="E33" s="517">
        <v>1.1200000000000001</v>
      </c>
      <c r="F33" s="517">
        <v>0.1903</v>
      </c>
      <c r="G33" s="517">
        <v>1.39</v>
      </c>
    </row>
    <row r="34" spans="1:7" ht="11.1" customHeight="1">
      <c r="A34" s="589" t="s">
        <v>1123</v>
      </c>
      <c r="B34" s="517">
        <v>1.63</v>
      </c>
      <c r="C34" s="517">
        <v>0.40989999999999999</v>
      </c>
      <c r="D34" s="517">
        <v>0.15379999999999999</v>
      </c>
      <c r="E34" s="517">
        <v>1.21</v>
      </c>
      <c r="F34" s="517">
        <v>7.8600000000000003E-2</v>
      </c>
      <c r="G34" s="517">
        <v>1.31</v>
      </c>
    </row>
    <row r="35" spans="1:7" ht="11.1" customHeight="1">
      <c r="A35" s="589" t="s">
        <v>222</v>
      </c>
      <c r="B35" s="517">
        <v>1.23</v>
      </c>
      <c r="C35" s="517">
        <v>9.7600000000000006E-2</v>
      </c>
      <c r="D35" s="517">
        <v>0.1159</v>
      </c>
      <c r="E35" s="517">
        <v>1.1399999999999999</v>
      </c>
      <c r="F35" s="517">
        <v>0.2334</v>
      </c>
      <c r="G35" s="517">
        <v>1.48</v>
      </c>
    </row>
    <row r="36" spans="1:7" ht="11.1" customHeight="1">
      <c r="A36" s="589" t="s">
        <v>223</v>
      </c>
      <c r="B36" s="517">
        <v>0.81</v>
      </c>
      <c r="C36" s="517">
        <v>0.437</v>
      </c>
      <c r="D36" s="517">
        <v>0.1171</v>
      </c>
      <c r="E36" s="517">
        <v>0.57999999999999996</v>
      </c>
      <c r="F36" s="517">
        <v>2.8799999999999999E-2</v>
      </c>
      <c r="G36" s="517">
        <v>0.6</v>
      </c>
    </row>
    <row r="37" spans="1:7" ht="11.1" customHeight="1">
      <c r="A37" s="589" t="s">
        <v>224</v>
      </c>
      <c r="B37" s="517">
        <v>1.31</v>
      </c>
      <c r="C37" s="517">
        <v>2.5148999999999999</v>
      </c>
      <c r="D37" s="517">
        <v>0.1918</v>
      </c>
      <c r="E37" s="517">
        <v>0.43</v>
      </c>
      <c r="F37" s="517">
        <v>0.1447</v>
      </c>
      <c r="G37" s="517">
        <v>0.5</v>
      </c>
    </row>
    <row r="38" spans="1:7" ht="11.1" customHeight="1">
      <c r="A38" s="589" t="s">
        <v>1124</v>
      </c>
      <c r="B38" s="517">
        <v>0.91</v>
      </c>
      <c r="C38" s="517">
        <v>0.29530000000000001</v>
      </c>
      <c r="D38" s="517">
        <v>0.2</v>
      </c>
      <c r="E38" s="517">
        <v>0.74</v>
      </c>
      <c r="F38" s="517">
        <v>4.02E-2</v>
      </c>
      <c r="G38" s="517">
        <v>0.77</v>
      </c>
    </row>
    <row r="39" spans="1:7" ht="11.1" customHeight="1">
      <c r="A39" s="589" t="s">
        <v>225</v>
      </c>
      <c r="B39" s="517">
        <v>1.0900000000000001</v>
      </c>
      <c r="C39" s="517">
        <v>0.4209</v>
      </c>
      <c r="D39" s="517">
        <v>0.35120000000000001</v>
      </c>
      <c r="E39" s="517">
        <v>0.86</v>
      </c>
      <c r="F39" s="517">
        <v>0.30819999999999997</v>
      </c>
      <c r="G39" s="517">
        <v>1.24</v>
      </c>
    </row>
    <row r="40" spans="1:7" ht="11.1" customHeight="1">
      <c r="A40" s="589" t="s">
        <v>226</v>
      </c>
      <c r="B40" s="517">
        <v>1.1399999999999999</v>
      </c>
      <c r="C40" s="517">
        <v>0.56599999999999995</v>
      </c>
      <c r="D40" s="517">
        <v>0.30840000000000001</v>
      </c>
      <c r="E40" s="517">
        <v>0.82</v>
      </c>
      <c r="F40" s="517">
        <v>4.4900000000000002E-2</v>
      </c>
      <c r="G40" s="517">
        <v>0.85</v>
      </c>
    </row>
    <row r="41" spans="1:7" ht="11.1" customHeight="1">
      <c r="A41" s="589" t="s">
        <v>1125</v>
      </c>
      <c r="B41" s="517">
        <v>1.81</v>
      </c>
      <c r="C41" s="517">
        <v>0.24390000000000001</v>
      </c>
      <c r="D41" s="517">
        <v>0.20430000000000001</v>
      </c>
      <c r="E41" s="517">
        <v>1.52</v>
      </c>
      <c r="F41" s="517">
        <v>8.2199999999999995E-2</v>
      </c>
      <c r="G41" s="517">
        <v>1.65</v>
      </c>
    </row>
    <row r="42" spans="1:7" ht="11.1" customHeight="1">
      <c r="A42" s="589" t="s">
        <v>227</v>
      </c>
      <c r="B42" s="517">
        <v>1.17</v>
      </c>
      <c r="C42" s="517">
        <v>6.3500000000000001E-2</v>
      </c>
      <c r="D42" s="517">
        <v>0.22189999999999999</v>
      </c>
      <c r="E42" s="517">
        <v>1.1200000000000001</v>
      </c>
      <c r="F42" s="517">
        <v>6.9500000000000006E-2</v>
      </c>
      <c r="G42" s="517">
        <v>1.2</v>
      </c>
    </row>
    <row r="43" spans="1:7" ht="11.1" customHeight="1">
      <c r="A43" s="589" t="s">
        <v>228</v>
      </c>
      <c r="B43" s="517">
        <v>1.8</v>
      </c>
      <c r="C43" s="517">
        <v>0.43659999999999999</v>
      </c>
      <c r="D43" s="517">
        <v>0.20619999999999999</v>
      </c>
      <c r="E43" s="517">
        <v>1.34</v>
      </c>
      <c r="F43" s="517">
        <v>9.4700000000000006E-2</v>
      </c>
      <c r="G43" s="517">
        <v>1.48</v>
      </c>
    </row>
    <row r="44" spans="1:7" ht="11.1" customHeight="1">
      <c r="A44" s="589" t="s">
        <v>1126</v>
      </c>
      <c r="B44" s="517">
        <v>1.45</v>
      </c>
      <c r="C44" s="517">
        <v>1.0027999999999999</v>
      </c>
      <c r="D44" s="517">
        <v>5.1200000000000002E-2</v>
      </c>
      <c r="E44" s="517">
        <v>0.74</v>
      </c>
      <c r="F44" s="517">
        <v>0.27</v>
      </c>
      <c r="G44" s="517">
        <v>1.02</v>
      </c>
    </row>
    <row r="45" spans="1:7" ht="11.1" customHeight="1">
      <c r="A45" s="590" t="s">
        <v>1127</v>
      </c>
      <c r="B45" s="517">
        <v>1.74</v>
      </c>
      <c r="C45" s="517">
        <v>0.52070000000000005</v>
      </c>
      <c r="D45" s="517">
        <v>0.14530000000000001</v>
      </c>
      <c r="E45" s="517">
        <v>1.2</v>
      </c>
      <c r="F45" s="517">
        <v>6.3299999999999995E-2</v>
      </c>
      <c r="G45" s="517">
        <v>1.28</v>
      </c>
    </row>
    <row r="46" spans="1:7" ht="11.1" customHeight="1">
      <c r="A46" s="590" t="s">
        <v>182</v>
      </c>
      <c r="B46" s="517">
        <v>1.07</v>
      </c>
      <c r="C46" s="517">
        <v>0.18990000000000001</v>
      </c>
      <c r="D46" s="517">
        <v>0.25119999999999998</v>
      </c>
      <c r="E46" s="517">
        <v>0.94</v>
      </c>
      <c r="F46" s="517">
        <v>2.0299999999999999E-2</v>
      </c>
      <c r="G46" s="517">
        <v>0.95</v>
      </c>
    </row>
    <row r="47" spans="1:7" ht="11.1" customHeight="1">
      <c r="A47" s="590" t="s">
        <v>229</v>
      </c>
      <c r="B47" s="517">
        <v>1.24</v>
      </c>
      <c r="C47" s="517">
        <v>0.1031</v>
      </c>
      <c r="D47" s="517">
        <v>0.2535</v>
      </c>
      <c r="E47" s="517">
        <v>1.1499999999999999</v>
      </c>
      <c r="F47" s="517">
        <v>0.18</v>
      </c>
      <c r="G47" s="517">
        <v>1.4</v>
      </c>
    </row>
    <row r="48" spans="1:7" ht="11.1" customHeight="1">
      <c r="A48" s="590" t="s">
        <v>230</v>
      </c>
      <c r="B48" s="517">
        <v>0.93</v>
      </c>
      <c r="C48" s="517">
        <v>0.3271</v>
      </c>
      <c r="D48" s="517">
        <v>0.1903</v>
      </c>
      <c r="E48" s="517">
        <v>0.74</v>
      </c>
      <c r="F48" s="517">
        <v>8.7800000000000003E-2</v>
      </c>
      <c r="G48" s="517">
        <v>0.81</v>
      </c>
    </row>
    <row r="49" spans="1:7" ht="11.1" customHeight="1">
      <c r="A49" s="589" t="s">
        <v>183</v>
      </c>
      <c r="B49" s="517">
        <v>1.07</v>
      </c>
      <c r="C49" s="517">
        <v>0.30209999999999998</v>
      </c>
      <c r="D49" s="517">
        <v>0.1893</v>
      </c>
      <c r="E49" s="517">
        <v>0.86</v>
      </c>
      <c r="F49" s="517">
        <v>3.4700000000000002E-2</v>
      </c>
      <c r="G49" s="517">
        <v>0.89</v>
      </c>
    </row>
    <row r="50" spans="1:7" ht="11.1" customHeight="1">
      <c r="A50" s="589" t="s">
        <v>184</v>
      </c>
      <c r="B50" s="517">
        <v>1.58</v>
      </c>
      <c r="C50" s="517">
        <v>0.64139999999999997</v>
      </c>
      <c r="D50" s="517">
        <v>0.28039999999999998</v>
      </c>
      <c r="E50" s="517">
        <v>1.08</v>
      </c>
      <c r="F50" s="517">
        <v>0.29470000000000002</v>
      </c>
      <c r="G50" s="517">
        <v>1.54</v>
      </c>
    </row>
    <row r="51" spans="1:7" ht="11.1" customHeight="1">
      <c r="A51" s="589" t="s">
        <v>185</v>
      </c>
      <c r="B51" s="517">
        <v>0.91</v>
      </c>
      <c r="C51" s="517">
        <v>0.23599999999999999</v>
      </c>
      <c r="D51" s="517">
        <v>0.19359999999999999</v>
      </c>
      <c r="E51" s="517">
        <v>0.76</v>
      </c>
      <c r="F51" s="517">
        <v>0.24149999999999999</v>
      </c>
      <c r="G51" s="517">
        <v>1.01</v>
      </c>
    </row>
    <row r="52" spans="1:7" ht="11.1" customHeight="1">
      <c r="A52" s="589" t="s">
        <v>231</v>
      </c>
      <c r="B52" s="517">
        <v>1.0900000000000001</v>
      </c>
      <c r="C52" s="517">
        <v>2.7099999999999999E-2</v>
      </c>
      <c r="D52" s="517">
        <v>6.8699999999999997E-2</v>
      </c>
      <c r="E52" s="517">
        <v>1.06</v>
      </c>
      <c r="F52" s="517">
        <v>0.14080000000000001</v>
      </c>
      <c r="G52" s="517">
        <v>1.24</v>
      </c>
    </row>
    <row r="53" spans="1:7" ht="11.1" customHeight="1">
      <c r="A53" s="589" t="s">
        <v>232</v>
      </c>
      <c r="B53" s="517">
        <v>1.06</v>
      </c>
      <c r="C53" s="517">
        <v>6.0900000000000003E-2</v>
      </c>
      <c r="D53" s="517">
        <v>0.1915</v>
      </c>
      <c r="E53" s="517">
        <v>1.01</v>
      </c>
      <c r="F53" s="517">
        <v>0.11700000000000001</v>
      </c>
      <c r="G53" s="517">
        <v>1.1399999999999999</v>
      </c>
    </row>
    <row r="54" spans="1:7" ht="11.1" customHeight="1">
      <c r="A54" s="589" t="s">
        <v>186</v>
      </c>
      <c r="B54" s="517">
        <v>1.2</v>
      </c>
      <c r="C54" s="517">
        <v>0.19120000000000001</v>
      </c>
      <c r="D54" s="517">
        <v>0.2215</v>
      </c>
      <c r="E54" s="517">
        <v>1.04</v>
      </c>
      <c r="F54" s="517">
        <v>8.5400000000000004E-2</v>
      </c>
      <c r="G54" s="517">
        <v>1.1399999999999999</v>
      </c>
    </row>
    <row r="55" spans="1:7" ht="11.1" customHeight="1">
      <c r="A55" s="589" t="s">
        <v>233</v>
      </c>
      <c r="B55" s="517">
        <v>1.4</v>
      </c>
      <c r="C55" s="517">
        <v>1.7038</v>
      </c>
      <c r="D55" s="517">
        <v>5.5500000000000001E-2</v>
      </c>
      <c r="E55" s="517">
        <v>0.53</v>
      </c>
      <c r="F55" s="517">
        <v>7.6200000000000004E-2</v>
      </c>
      <c r="G55" s="517">
        <v>0.57999999999999996</v>
      </c>
    </row>
    <row r="56" spans="1:7" ht="11.1" customHeight="1">
      <c r="A56" s="589" t="s">
        <v>234</v>
      </c>
      <c r="B56" s="517">
        <v>0.85</v>
      </c>
      <c r="C56" s="517">
        <v>0.1608</v>
      </c>
      <c r="D56" s="517">
        <v>0.1186</v>
      </c>
      <c r="E56" s="517">
        <v>0.74</v>
      </c>
      <c r="F56" s="517">
        <v>7.1999999999999995E-2</v>
      </c>
      <c r="G56" s="517">
        <v>0.8</v>
      </c>
    </row>
    <row r="57" spans="1:7" ht="11.1" customHeight="1">
      <c r="A57" s="589" t="s">
        <v>235</v>
      </c>
      <c r="B57" s="517">
        <v>1.03</v>
      </c>
      <c r="C57" s="517">
        <v>0.13020000000000001</v>
      </c>
      <c r="D57" s="517">
        <v>0.1273</v>
      </c>
      <c r="E57" s="517">
        <v>0.92</v>
      </c>
      <c r="F57" s="517">
        <v>0.1331</v>
      </c>
      <c r="G57" s="517">
        <v>1.07</v>
      </c>
    </row>
    <row r="58" spans="1:7" ht="11.1" customHeight="1">
      <c r="A58" s="589" t="s">
        <v>236</v>
      </c>
      <c r="B58" s="517">
        <v>0.91</v>
      </c>
      <c r="C58" s="517">
        <v>0.4945</v>
      </c>
      <c r="D58" s="517">
        <v>0.1993</v>
      </c>
      <c r="E58" s="517">
        <v>0.65</v>
      </c>
      <c r="F58" s="517">
        <v>0.16300000000000001</v>
      </c>
      <c r="G58" s="517">
        <v>0.78</v>
      </c>
    </row>
    <row r="59" spans="1:7" ht="11.1" customHeight="1">
      <c r="A59" s="589" t="s">
        <v>237</v>
      </c>
      <c r="B59" s="517">
        <v>1.59</v>
      </c>
      <c r="C59" s="517">
        <v>0.15490000000000001</v>
      </c>
      <c r="D59" s="517">
        <v>0.26550000000000001</v>
      </c>
      <c r="E59" s="517">
        <v>1.43</v>
      </c>
      <c r="F59" s="517">
        <v>0.1222</v>
      </c>
      <c r="G59" s="517">
        <v>1.63</v>
      </c>
    </row>
    <row r="60" spans="1:7" ht="11.1" customHeight="1">
      <c r="A60" s="589" t="s">
        <v>238</v>
      </c>
      <c r="B60" s="517">
        <v>1.33</v>
      </c>
      <c r="C60" s="517">
        <v>0.14099999999999999</v>
      </c>
      <c r="D60" s="517">
        <v>0.1104</v>
      </c>
      <c r="E60" s="517">
        <v>1.18</v>
      </c>
      <c r="F60" s="517">
        <v>7.5999999999999998E-2</v>
      </c>
      <c r="G60" s="517">
        <v>1.28</v>
      </c>
    </row>
    <row r="61" spans="1:7" ht="11.1" customHeight="1">
      <c r="A61" s="589" t="s">
        <v>239</v>
      </c>
      <c r="B61" s="517">
        <v>1.33</v>
      </c>
      <c r="C61" s="517">
        <v>0.37069999999999997</v>
      </c>
      <c r="D61" s="517">
        <v>0.2198</v>
      </c>
      <c r="E61" s="517">
        <v>1.03</v>
      </c>
      <c r="F61" s="517">
        <v>3.4099999999999998E-2</v>
      </c>
      <c r="G61" s="517">
        <v>1.06</v>
      </c>
    </row>
    <row r="62" spans="1:7" ht="11.1" customHeight="1">
      <c r="A62" s="589" t="s">
        <v>240</v>
      </c>
      <c r="B62" s="517">
        <v>0.66</v>
      </c>
      <c r="C62" s="517">
        <v>0.67379999999999995</v>
      </c>
      <c r="D62" s="517">
        <v>0.30159999999999998</v>
      </c>
      <c r="E62" s="517">
        <v>0.45</v>
      </c>
      <c r="F62" s="517">
        <v>1.52E-2</v>
      </c>
      <c r="G62" s="517">
        <v>0.46</v>
      </c>
    </row>
    <row r="63" spans="1:7" ht="11.1" customHeight="1">
      <c r="A63" s="589" t="s">
        <v>241</v>
      </c>
      <c r="B63" s="517">
        <v>1.76</v>
      </c>
      <c r="C63" s="517">
        <v>0.46350000000000002</v>
      </c>
      <c r="D63" s="517">
        <v>0.25130000000000002</v>
      </c>
      <c r="E63" s="517">
        <v>1.31</v>
      </c>
      <c r="F63" s="517">
        <v>7.7299999999999994E-2</v>
      </c>
      <c r="G63" s="517">
        <v>1.42</v>
      </c>
    </row>
    <row r="64" spans="1:7" ht="11.1" customHeight="1">
      <c r="A64" s="589" t="s">
        <v>242</v>
      </c>
      <c r="B64" s="517">
        <v>1.38</v>
      </c>
      <c r="C64" s="517">
        <v>0.63029999999999997</v>
      </c>
      <c r="D64" s="517">
        <v>0.21049999999999999</v>
      </c>
      <c r="E64" s="517">
        <v>0.92</v>
      </c>
      <c r="F64" s="517">
        <v>0.1177</v>
      </c>
      <c r="G64" s="517">
        <v>1.04</v>
      </c>
    </row>
    <row r="65" spans="1:7" ht="11.1" customHeight="1">
      <c r="A65" s="589" t="s">
        <v>187</v>
      </c>
      <c r="B65" s="517">
        <v>0.96</v>
      </c>
      <c r="C65" s="517">
        <v>0.58299999999999996</v>
      </c>
      <c r="D65" s="517">
        <v>0.13700000000000001</v>
      </c>
      <c r="E65" s="517">
        <v>0.64</v>
      </c>
      <c r="F65" s="517">
        <v>1.17E-2</v>
      </c>
      <c r="G65" s="517">
        <v>0.65</v>
      </c>
    </row>
    <row r="66" spans="1:7" ht="11.1" customHeight="1">
      <c r="A66" s="589" t="s">
        <v>188</v>
      </c>
      <c r="B66" s="517">
        <v>1.55</v>
      </c>
      <c r="C66" s="517">
        <v>0.22919999999999999</v>
      </c>
      <c r="D66" s="517">
        <v>0.1739</v>
      </c>
      <c r="E66" s="517">
        <v>1.3</v>
      </c>
      <c r="F66" s="517">
        <v>5.9900000000000002E-2</v>
      </c>
      <c r="G66" s="517">
        <v>1.39</v>
      </c>
    </row>
    <row r="67" spans="1:7" ht="11.1" customHeight="1">
      <c r="A67" s="589" t="s">
        <v>189</v>
      </c>
      <c r="B67" s="517">
        <v>1.1599999999999999</v>
      </c>
      <c r="C67" s="517">
        <v>0.51819999999999999</v>
      </c>
      <c r="D67" s="517">
        <v>0.24229999999999999</v>
      </c>
      <c r="E67" s="517">
        <v>0.83</v>
      </c>
      <c r="F67" s="517">
        <v>5.8999999999999997E-2</v>
      </c>
      <c r="G67" s="517">
        <v>0.88</v>
      </c>
    </row>
    <row r="68" spans="1:7" ht="11.1" customHeight="1">
      <c r="A68" s="589" t="s">
        <v>190</v>
      </c>
      <c r="B68" s="517">
        <v>1.36</v>
      </c>
      <c r="C68" s="517">
        <v>0.59860000000000002</v>
      </c>
      <c r="D68" s="517">
        <v>0.1061</v>
      </c>
      <c r="E68" s="517">
        <v>0.89</v>
      </c>
      <c r="F68" s="517">
        <v>8.0500000000000002E-2</v>
      </c>
      <c r="G68" s="517">
        <v>0.96</v>
      </c>
    </row>
    <row r="69" spans="1:7" ht="11.1" customHeight="1">
      <c r="A69" s="589" t="s">
        <v>243</v>
      </c>
      <c r="B69" s="517">
        <v>1.18</v>
      </c>
      <c r="C69" s="517">
        <v>0.19189999999999999</v>
      </c>
      <c r="D69" s="517">
        <v>0.27410000000000001</v>
      </c>
      <c r="E69" s="517">
        <v>1.04</v>
      </c>
      <c r="F69" s="517">
        <v>7.2999999999999995E-2</v>
      </c>
      <c r="G69" s="517">
        <v>1.1200000000000001</v>
      </c>
    </row>
    <row r="70" spans="1:7" ht="11.1" customHeight="1">
      <c r="A70" s="589" t="s">
        <v>244</v>
      </c>
      <c r="B70" s="517">
        <v>1.34</v>
      </c>
      <c r="C70" s="517">
        <v>0.24879999999999999</v>
      </c>
      <c r="D70" s="517">
        <v>0.1114</v>
      </c>
      <c r="E70" s="517">
        <v>1.1000000000000001</v>
      </c>
      <c r="F70" s="517">
        <v>0.03</v>
      </c>
      <c r="G70" s="517">
        <v>1.1299999999999999</v>
      </c>
    </row>
    <row r="71" spans="1:7" ht="11.1" customHeight="1">
      <c r="A71" s="589" t="s">
        <v>245</v>
      </c>
      <c r="B71" s="517">
        <v>1.1200000000000001</v>
      </c>
      <c r="C71" s="517">
        <v>0.20480000000000001</v>
      </c>
      <c r="D71" s="517">
        <v>0.2467</v>
      </c>
      <c r="E71" s="517">
        <v>0.97</v>
      </c>
      <c r="F71" s="517">
        <v>2.98E-2</v>
      </c>
      <c r="G71" s="517">
        <v>1</v>
      </c>
    </row>
    <row r="72" spans="1:7" ht="11.1" customHeight="1">
      <c r="A72" s="589" t="s">
        <v>246</v>
      </c>
      <c r="B72" s="517">
        <v>0.98</v>
      </c>
      <c r="C72" s="517">
        <v>0.40970000000000001</v>
      </c>
      <c r="D72" s="517">
        <v>6.3700000000000007E-2</v>
      </c>
      <c r="E72" s="517">
        <v>0.71</v>
      </c>
      <c r="F72" s="517">
        <v>8.3000000000000001E-3</v>
      </c>
      <c r="G72" s="517">
        <v>0.72</v>
      </c>
    </row>
    <row r="73" spans="1:7" ht="11.1" customHeight="1">
      <c r="A73" s="589" t="s">
        <v>191</v>
      </c>
      <c r="B73" s="517">
        <v>1.35</v>
      </c>
      <c r="C73" s="517">
        <v>1.4882</v>
      </c>
      <c r="D73" s="517">
        <v>8.6599999999999996E-2</v>
      </c>
      <c r="E73" s="517">
        <v>0.56999999999999995</v>
      </c>
      <c r="F73" s="517">
        <v>0.1145</v>
      </c>
      <c r="G73" s="517">
        <v>0.65</v>
      </c>
    </row>
    <row r="74" spans="1:7" ht="11.1" customHeight="1">
      <c r="A74" s="589" t="s">
        <v>192</v>
      </c>
      <c r="B74" s="517">
        <v>1.1499999999999999</v>
      </c>
      <c r="C74" s="517">
        <v>8.2000000000000003E-2</v>
      </c>
      <c r="D74" s="517">
        <v>7.51E-2</v>
      </c>
      <c r="E74" s="517">
        <v>1.07</v>
      </c>
      <c r="F74" s="517">
        <v>6.6400000000000001E-2</v>
      </c>
      <c r="G74" s="517">
        <v>1.1399999999999999</v>
      </c>
    </row>
    <row r="75" spans="1:7" ht="11.1" customHeight="1">
      <c r="A75" s="589" t="s">
        <v>247</v>
      </c>
      <c r="B75" s="517">
        <v>1.28</v>
      </c>
      <c r="C75" s="517">
        <v>0.15939999999999999</v>
      </c>
      <c r="D75" s="517">
        <v>0.1394</v>
      </c>
      <c r="E75" s="517">
        <v>1.1200000000000001</v>
      </c>
      <c r="F75" s="517">
        <v>0.1555</v>
      </c>
      <c r="G75" s="517">
        <v>1.33</v>
      </c>
    </row>
    <row r="76" spans="1:7" ht="11.1" customHeight="1">
      <c r="A76" s="589" t="s">
        <v>248</v>
      </c>
      <c r="B76" s="517">
        <v>1.1299999999999999</v>
      </c>
      <c r="C76" s="517">
        <v>1.4063000000000001</v>
      </c>
      <c r="D76" s="517">
        <v>0.18590000000000001</v>
      </c>
      <c r="E76" s="517">
        <v>0.53</v>
      </c>
      <c r="F76" s="517">
        <v>9.9599999999999994E-2</v>
      </c>
      <c r="G76" s="517">
        <v>0.59</v>
      </c>
    </row>
    <row r="77" spans="1:7" ht="11.1" customHeight="1">
      <c r="A77" s="589" t="s">
        <v>249</v>
      </c>
      <c r="B77" s="517">
        <v>2.1800000000000002</v>
      </c>
      <c r="C77" s="517">
        <v>0.59870000000000001</v>
      </c>
      <c r="D77" s="517">
        <v>3.7900000000000003E-2</v>
      </c>
      <c r="E77" s="517">
        <v>1.38</v>
      </c>
      <c r="F77" s="517">
        <v>0.15010000000000001</v>
      </c>
      <c r="G77" s="517">
        <v>1.62</v>
      </c>
    </row>
    <row r="78" spans="1:7" ht="11.1" customHeight="1">
      <c r="A78" s="589" t="s">
        <v>250</v>
      </c>
      <c r="B78" s="517">
        <v>1.25</v>
      </c>
      <c r="C78" s="517">
        <v>0.63280000000000003</v>
      </c>
      <c r="D78" s="517">
        <v>0.1855</v>
      </c>
      <c r="E78" s="517">
        <v>0.82</v>
      </c>
      <c r="F78" s="517">
        <v>7.7100000000000002E-2</v>
      </c>
      <c r="G78" s="517">
        <v>0.89</v>
      </c>
    </row>
    <row r="79" spans="1:7" ht="11.1" customHeight="1">
      <c r="A79" s="589" t="s">
        <v>193</v>
      </c>
      <c r="B79" s="517">
        <v>1.47</v>
      </c>
      <c r="C79" s="517">
        <v>0.34710000000000002</v>
      </c>
      <c r="D79" s="517">
        <v>1.04E-2</v>
      </c>
      <c r="E79" s="517">
        <v>1.0900000000000001</v>
      </c>
      <c r="F79" s="517">
        <v>4.7100000000000003E-2</v>
      </c>
      <c r="G79" s="517">
        <v>1.1499999999999999</v>
      </c>
    </row>
    <row r="80" spans="1:7" ht="11.1" customHeight="1">
      <c r="A80" s="589" t="s">
        <v>194</v>
      </c>
      <c r="B80" s="517">
        <v>1.44</v>
      </c>
      <c r="C80" s="517">
        <v>0.2515</v>
      </c>
      <c r="D80" s="517">
        <v>0.2374</v>
      </c>
      <c r="E80" s="517">
        <v>1.21</v>
      </c>
      <c r="F80" s="517">
        <v>2.6200000000000001E-2</v>
      </c>
      <c r="G80" s="517">
        <v>1.24</v>
      </c>
    </row>
    <row r="81" spans="1:7" ht="11.1" customHeight="1">
      <c r="A81" s="589" t="s">
        <v>195</v>
      </c>
      <c r="B81" s="517">
        <v>1.45</v>
      </c>
      <c r="C81" s="517">
        <v>0.4869</v>
      </c>
      <c r="D81" s="517">
        <v>0.17369999999999999</v>
      </c>
      <c r="E81" s="517">
        <v>1.03</v>
      </c>
      <c r="F81" s="517">
        <v>6.6000000000000003E-2</v>
      </c>
      <c r="G81" s="517">
        <v>1.1100000000000001</v>
      </c>
    </row>
    <row r="82" spans="1:7" ht="11.1" customHeight="1">
      <c r="A82" s="589" t="s">
        <v>196</v>
      </c>
      <c r="B82" s="517">
        <v>0.93</v>
      </c>
      <c r="C82" s="517">
        <v>0.2354</v>
      </c>
      <c r="D82" s="517">
        <v>7.22E-2</v>
      </c>
      <c r="E82" s="517">
        <v>0.76</v>
      </c>
      <c r="F82" s="517">
        <v>0.27839999999999998</v>
      </c>
      <c r="G82" s="517">
        <v>1.05</v>
      </c>
    </row>
    <row r="83" spans="1:7" ht="11.1" customHeight="1">
      <c r="A83" s="589" t="s">
        <v>197</v>
      </c>
      <c r="B83" s="517">
        <v>1.27</v>
      </c>
      <c r="C83" s="517">
        <v>0.12770000000000001</v>
      </c>
      <c r="D83" s="517">
        <v>0.2157</v>
      </c>
      <c r="E83" s="517">
        <v>1.1499999999999999</v>
      </c>
      <c r="F83" s="517">
        <v>3.4099999999999998E-2</v>
      </c>
      <c r="G83" s="517">
        <v>1.19</v>
      </c>
    </row>
    <row r="84" spans="1:7" ht="11.1" customHeight="1">
      <c r="A84" s="589" t="s">
        <v>251</v>
      </c>
      <c r="B84" s="517">
        <v>1.77</v>
      </c>
      <c r="C84" s="517">
        <v>0.24329999999999999</v>
      </c>
      <c r="D84" s="517">
        <v>0.23039999999999999</v>
      </c>
      <c r="E84" s="517">
        <v>1.49</v>
      </c>
      <c r="F84" s="517">
        <v>9.7799999999999998E-2</v>
      </c>
      <c r="G84" s="517">
        <v>1.65</v>
      </c>
    </row>
    <row r="85" spans="1:7" ht="11.1" customHeight="1">
      <c r="A85" s="589" t="s">
        <v>252</v>
      </c>
      <c r="B85" s="517">
        <v>1.44</v>
      </c>
      <c r="C85" s="517">
        <v>5.6099999999999997E-2</v>
      </c>
      <c r="D85" s="517">
        <v>0.24640000000000001</v>
      </c>
      <c r="E85" s="517">
        <v>1.38</v>
      </c>
      <c r="F85" s="517">
        <v>0.124</v>
      </c>
      <c r="G85" s="517">
        <v>1.57</v>
      </c>
    </row>
    <row r="86" spans="1:7" ht="11.1" customHeight="1">
      <c r="A86" s="589" t="s">
        <v>253</v>
      </c>
      <c r="B86" s="517">
        <v>1.37</v>
      </c>
      <c r="C86" s="517">
        <v>0.38109999999999999</v>
      </c>
      <c r="D86" s="517">
        <v>0.34429999999999999</v>
      </c>
      <c r="E86" s="517">
        <v>1.0900000000000001</v>
      </c>
      <c r="F86" s="517">
        <v>2.4500000000000001E-2</v>
      </c>
      <c r="G86" s="517">
        <v>1.1200000000000001</v>
      </c>
    </row>
    <row r="87" spans="1:7" ht="11.1" customHeight="1">
      <c r="A87" s="589" t="s">
        <v>254</v>
      </c>
      <c r="B87" s="517">
        <v>1.04</v>
      </c>
      <c r="C87" s="517">
        <v>0.1406</v>
      </c>
      <c r="D87" s="517">
        <v>0.31390000000000001</v>
      </c>
      <c r="E87" s="517">
        <v>0.95</v>
      </c>
      <c r="F87" s="517">
        <v>1.6299999999999999E-2</v>
      </c>
      <c r="G87" s="517">
        <v>0.97</v>
      </c>
    </row>
    <row r="88" spans="1:7" ht="11.1" customHeight="1">
      <c r="A88" s="589" t="s">
        <v>255</v>
      </c>
      <c r="B88" s="517">
        <v>1.29</v>
      </c>
      <c r="C88" s="517">
        <v>0.25580000000000003</v>
      </c>
      <c r="D88" s="517">
        <v>0.25019999999999998</v>
      </c>
      <c r="E88" s="517">
        <v>1.08</v>
      </c>
      <c r="F88" s="517">
        <v>5.7000000000000002E-2</v>
      </c>
      <c r="G88" s="517">
        <v>1.1399999999999999</v>
      </c>
    </row>
    <row r="89" spans="1:7" ht="11.1" customHeight="1">
      <c r="A89" s="589" t="s">
        <v>256</v>
      </c>
      <c r="B89" s="517">
        <v>0.75</v>
      </c>
      <c r="C89" s="517">
        <v>0.41339999999999999</v>
      </c>
      <c r="D89" s="517">
        <v>0.31209999999999999</v>
      </c>
      <c r="E89" s="517">
        <v>0.57999999999999996</v>
      </c>
      <c r="F89" s="517">
        <v>8.3199999999999996E-2</v>
      </c>
      <c r="G89" s="517">
        <v>0.64</v>
      </c>
    </row>
    <row r="90" spans="1:7" ht="11.1" customHeight="1">
      <c r="A90" s="589" t="s">
        <v>257</v>
      </c>
      <c r="B90" s="517">
        <v>1.2</v>
      </c>
      <c r="C90" s="517">
        <v>4.3056000000000001</v>
      </c>
      <c r="D90" s="517">
        <v>0.26219999999999999</v>
      </c>
      <c r="E90" s="517">
        <v>0.28999999999999998</v>
      </c>
      <c r="F90" s="517">
        <v>0.32790000000000002</v>
      </c>
      <c r="G90" s="517">
        <v>0.43</v>
      </c>
    </row>
    <row r="91" spans="1:7" ht="11.1" customHeight="1">
      <c r="A91" s="589" t="s">
        <v>198</v>
      </c>
      <c r="B91" s="517">
        <v>1.5</v>
      </c>
      <c r="C91" s="517">
        <v>8.3500000000000005E-2</v>
      </c>
      <c r="D91" s="517">
        <v>0.1101</v>
      </c>
      <c r="E91" s="517">
        <v>1.4</v>
      </c>
      <c r="F91" s="517">
        <v>0.1726</v>
      </c>
      <c r="G91" s="517">
        <v>1.69</v>
      </c>
    </row>
    <row r="92" spans="1:7" ht="11.1" customHeight="1">
      <c r="A92" s="589" t="s">
        <v>199</v>
      </c>
      <c r="B92" s="517">
        <v>1.79</v>
      </c>
      <c r="C92" s="517">
        <v>0.152</v>
      </c>
      <c r="D92" s="517">
        <v>0.1517</v>
      </c>
      <c r="E92" s="517">
        <v>1.59</v>
      </c>
      <c r="F92" s="517">
        <v>0.34389999999999998</v>
      </c>
      <c r="G92" s="517">
        <v>2.42</v>
      </c>
    </row>
    <row r="93" spans="1:7" ht="11.1" customHeight="1">
      <c r="A93" s="589" t="s">
        <v>200</v>
      </c>
      <c r="B93" s="517">
        <v>1.25</v>
      </c>
      <c r="C93" s="517">
        <v>2.18E-2</v>
      </c>
      <c r="D93" s="517">
        <v>0.24310000000000001</v>
      </c>
      <c r="E93" s="517">
        <v>1.23</v>
      </c>
      <c r="F93" s="517">
        <v>0.1072</v>
      </c>
      <c r="G93" s="517">
        <v>1.38</v>
      </c>
    </row>
    <row r="94" spans="1:7" ht="11.1" customHeight="1">
      <c r="A94" s="589" t="s">
        <v>201</v>
      </c>
      <c r="B94" s="517">
        <v>1.68</v>
      </c>
      <c r="C94" s="517">
        <v>0.46400000000000002</v>
      </c>
      <c r="D94" s="517">
        <v>0.21029999999999999</v>
      </c>
      <c r="E94" s="517">
        <v>1.23</v>
      </c>
      <c r="F94" s="517">
        <v>0.12089999999999999</v>
      </c>
      <c r="G94" s="517">
        <v>1.4</v>
      </c>
    </row>
    <row r="95" spans="1:7" ht="11.1" customHeight="1">
      <c r="A95" s="589" t="s">
        <v>202</v>
      </c>
      <c r="B95" s="517">
        <v>1.02</v>
      </c>
      <c r="C95" s="517">
        <v>0.12959999999999999</v>
      </c>
      <c r="D95" s="517">
        <v>0.13159999999999999</v>
      </c>
      <c r="E95" s="517">
        <v>0.91</v>
      </c>
      <c r="F95" s="517">
        <v>0.28770000000000001</v>
      </c>
      <c r="G95" s="517">
        <v>1.28</v>
      </c>
    </row>
    <row r="96" spans="1:7" ht="11.1" customHeight="1">
      <c r="A96" s="589" t="s">
        <v>203</v>
      </c>
      <c r="B96" s="517">
        <v>0.98</v>
      </c>
      <c r="C96" s="517">
        <v>0.34089999999999998</v>
      </c>
      <c r="D96" s="517">
        <v>0.14219999999999999</v>
      </c>
      <c r="E96" s="517">
        <v>0.76</v>
      </c>
      <c r="F96" s="517">
        <v>8.0399999999999999E-2</v>
      </c>
      <c r="G96" s="517">
        <v>0.82</v>
      </c>
    </row>
    <row r="97" spans="1:7" ht="11.1" customHeight="1">
      <c r="A97" s="589" t="s">
        <v>258</v>
      </c>
      <c r="B97" s="517">
        <v>0.88</v>
      </c>
      <c r="C97" s="517">
        <v>0.96150000000000002</v>
      </c>
      <c r="D97" s="517">
        <v>0.29420000000000002</v>
      </c>
      <c r="E97" s="517">
        <v>0.52</v>
      </c>
      <c r="F97" s="517">
        <v>3.2199999999999999E-2</v>
      </c>
      <c r="G97" s="517">
        <v>0.54</v>
      </c>
    </row>
    <row r="98" spans="1:7" ht="11.1" customHeight="1">
      <c r="A98" s="589" t="s">
        <v>204</v>
      </c>
      <c r="B98" s="517">
        <v>0.71</v>
      </c>
      <c r="C98" s="517">
        <v>0.29330000000000001</v>
      </c>
      <c r="D98" s="517">
        <v>0.12429999999999999</v>
      </c>
      <c r="E98" s="517">
        <v>0.56999999999999995</v>
      </c>
      <c r="F98" s="517">
        <v>0.24349999999999999</v>
      </c>
      <c r="G98" s="517">
        <v>0.75</v>
      </c>
    </row>
    <row r="99" spans="1:7" ht="11.1" customHeight="1">
      <c r="A99" s="589" t="s">
        <v>205</v>
      </c>
      <c r="B99" s="517">
        <v>0.85</v>
      </c>
      <c r="C99" s="517">
        <v>0.18709999999999999</v>
      </c>
      <c r="D99" s="517">
        <v>0.31030000000000002</v>
      </c>
      <c r="E99" s="517">
        <v>0.76</v>
      </c>
      <c r="F99" s="517">
        <v>3.1300000000000001E-2</v>
      </c>
      <c r="G99" s="517">
        <v>0.78</v>
      </c>
    </row>
    <row r="100" spans="1:7" ht="11.1" customHeight="1">
      <c r="A100" s="589" t="s">
        <v>259</v>
      </c>
      <c r="B100" s="517">
        <v>1.3</v>
      </c>
      <c r="C100" s="517">
        <v>0.2064</v>
      </c>
      <c r="D100" s="517">
        <v>0.20300000000000001</v>
      </c>
      <c r="E100" s="517">
        <v>1.1200000000000001</v>
      </c>
      <c r="F100" s="517">
        <v>6.5600000000000006E-2</v>
      </c>
      <c r="G100" s="517">
        <v>1.2</v>
      </c>
    </row>
    <row r="101" spans="1:7" ht="11.1" customHeight="1">
      <c r="A101" s="589" t="s">
        <v>206</v>
      </c>
      <c r="B101" s="517">
        <v>1.24</v>
      </c>
      <c r="C101" s="517">
        <v>0.2777</v>
      </c>
      <c r="D101" s="517">
        <v>0.25480000000000003</v>
      </c>
      <c r="E101" s="517">
        <v>1.03</v>
      </c>
      <c r="F101" s="517">
        <v>4.5999999999999999E-2</v>
      </c>
      <c r="G101" s="517">
        <v>1.08</v>
      </c>
    </row>
    <row r="102" spans="1:7" ht="11.1" customHeight="1">
      <c r="A102" s="589" t="s">
        <v>260</v>
      </c>
      <c r="B102" s="517">
        <v>0.96</v>
      </c>
      <c r="C102" s="517">
        <v>1.5503</v>
      </c>
      <c r="D102" s="517">
        <v>0.26069999999999999</v>
      </c>
      <c r="E102" s="517">
        <v>0.45</v>
      </c>
      <c r="F102" s="517">
        <v>6.59E-2</v>
      </c>
      <c r="G102" s="517">
        <v>0.48</v>
      </c>
    </row>
    <row r="103" spans="1:7" ht="11.1" customHeight="1">
      <c r="A103" s="589" t="s">
        <v>261</v>
      </c>
      <c r="B103" s="517">
        <v>0.66</v>
      </c>
      <c r="C103" s="517">
        <v>0.81420000000000003</v>
      </c>
      <c r="D103" s="517">
        <v>0.35220000000000001</v>
      </c>
      <c r="E103" s="517">
        <v>0.43</v>
      </c>
      <c r="F103" s="517">
        <v>3.8E-3</v>
      </c>
      <c r="G103" s="517">
        <v>0.43</v>
      </c>
    </row>
    <row r="104" spans="1:7" ht="11.1" customHeight="1">
      <c r="A104" s="589" t="s">
        <v>262</v>
      </c>
      <c r="B104" s="517">
        <v>1.27</v>
      </c>
      <c r="C104" s="517">
        <v>0.27060000000000001</v>
      </c>
      <c r="D104" s="517">
        <v>0.1212</v>
      </c>
      <c r="E104" s="517">
        <v>1.03</v>
      </c>
      <c r="F104" s="517">
        <v>8.43E-2</v>
      </c>
      <c r="G104" s="517">
        <v>1.1200000000000001</v>
      </c>
    </row>
    <row r="105" spans="1:7" ht="11.1" customHeight="1">
      <c r="A105" s="588" t="s">
        <v>207</v>
      </c>
      <c r="B105" s="518">
        <v>1.1499999999999999</v>
      </c>
      <c r="C105" s="518">
        <v>0.46639999999999998</v>
      </c>
      <c r="D105" s="518">
        <v>0.15479999999999999</v>
      </c>
      <c r="E105" s="518">
        <v>0.82</v>
      </c>
      <c r="F105" s="518">
        <v>0.10829999999999999</v>
      </c>
      <c r="G105" s="518">
        <v>0.92</v>
      </c>
    </row>
  </sheetData>
  <phoneticPr fontId="0" type="noConversion"/>
  <pageMargins left="0.75" right="0.75" top="1" bottom="1" header="0.5" footer="0.5"/>
  <pageSetup paperSize="9" scale="5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4:O273"/>
  <sheetViews>
    <sheetView showGridLines="0" topLeftCell="A106" workbookViewId="0">
      <selection activeCell="A75" sqref="A75:Q86"/>
    </sheetView>
  </sheetViews>
  <sheetFormatPr defaultColWidth="8.85546875" defaultRowHeight="12.75"/>
  <sheetData>
    <row r="14" spans="1:15">
      <c r="A14" s="83"/>
      <c r="B14" s="83"/>
      <c r="C14" s="83"/>
      <c r="D14" s="83"/>
      <c r="E14" s="83"/>
      <c r="F14" s="83"/>
      <c r="G14" s="83"/>
      <c r="H14" s="83"/>
      <c r="I14" s="83"/>
      <c r="J14" s="83"/>
      <c r="K14" s="83"/>
      <c r="L14" s="83"/>
      <c r="M14" s="83"/>
      <c r="N14" s="83"/>
      <c r="O14" s="83"/>
    </row>
    <row r="15" spans="1:15" ht="18.75">
      <c r="A15" s="84"/>
      <c r="B15" s="83"/>
      <c r="C15" s="83"/>
      <c r="D15" s="83"/>
      <c r="E15" s="83"/>
      <c r="F15" s="83"/>
      <c r="G15" s="83"/>
      <c r="H15" s="83"/>
      <c r="I15" s="83"/>
      <c r="J15" s="83"/>
      <c r="K15" s="83"/>
      <c r="L15" s="83"/>
      <c r="M15" s="83"/>
      <c r="N15" s="83"/>
      <c r="O15" s="83"/>
    </row>
    <row r="16" spans="1:15" ht="18.75">
      <c r="A16" s="84"/>
      <c r="B16" s="83"/>
      <c r="C16" s="83"/>
      <c r="D16" s="83"/>
      <c r="E16" s="83"/>
      <c r="F16" s="83"/>
      <c r="G16" s="83"/>
      <c r="H16" s="83"/>
      <c r="I16" s="83"/>
      <c r="J16" s="83"/>
      <c r="K16" s="83"/>
      <c r="L16" s="83"/>
      <c r="M16" s="83"/>
      <c r="N16" s="83"/>
      <c r="O16" s="83"/>
    </row>
    <row r="17" spans="1:15" ht="18.75">
      <c r="A17" s="84"/>
      <c r="B17" s="83"/>
      <c r="C17" s="83"/>
      <c r="D17" s="83"/>
      <c r="E17" s="83"/>
      <c r="F17" s="83"/>
      <c r="G17" s="83"/>
      <c r="H17" s="83"/>
      <c r="I17" s="83"/>
      <c r="J17" s="83"/>
      <c r="K17" s="83"/>
      <c r="L17" s="83"/>
      <c r="M17" s="83"/>
      <c r="N17" s="83"/>
      <c r="O17" s="83"/>
    </row>
    <row r="18" spans="1:15" ht="18.75">
      <c r="A18" s="84"/>
      <c r="B18" s="83"/>
      <c r="C18" s="83"/>
      <c r="D18" s="83"/>
      <c r="E18" s="83"/>
      <c r="F18" s="83"/>
      <c r="G18" s="83"/>
      <c r="H18" s="83"/>
      <c r="I18" s="83"/>
      <c r="J18" s="83"/>
      <c r="K18" s="83"/>
      <c r="L18" s="83"/>
      <c r="M18" s="83"/>
      <c r="N18" s="83"/>
      <c r="O18" s="83"/>
    </row>
    <row r="19" spans="1:15" ht="18.75">
      <c r="A19" s="84"/>
      <c r="B19" s="83"/>
      <c r="C19" s="83"/>
      <c r="D19" s="83"/>
      <c r="E19" s="83"/>
      <c r="F19" s="83"/>
      <c r="G19" s="83"/>
      <c r="H19" s="83"/>
      <c r="I19" s="83"/>
      <c r="J19" s="83"/>
      <c r="K19" s="83"/>
      <c r="L19" s="83"/>
      <c r="M19" s="83"/>
      <c r="N19" s="83"/>
      <c r="O19" s="83"/>
    </row>
    <row r="20" spans="1:15" ht="18.75">
      <c r="A20" s="84"/>
      <c r="B20" s="83"/>
      <c r="C20" s="83"/>
      <c r="D20" s="83"/>
      <c r="E20" s="83"/>
      <c r="F20" s="83"/>
      <c r="G20" s="83"/>
      <c r="H20" s="83"/>
      <c r="I20" s="83"/>
      <c r="J20" s="83"/>
      <c r="K20" s="83"/>
      <c r="L20" s="83"/>
      <c r="M20" s="83"/>
      <c r="N20" s="83"/>
      <c r="O20" s="83"/>
    </row>
    <row r="21" spans="1:15" ht="18.75">
      <c r="A21" s="85" t="s">
        <v>57</v>
      </c>
      <c r="B21" s="83"/>
      <c r="C21" s="83"/>
      <c r="D21" s="83"/>
      <c r="E21" s="83"/>
      <c r="F21" s="83"/>
      <c r="G21" s="83"/>
      <c r="H21" s="83"/>
      <c r="I21" s="83"/>
      <c r="J21" s="83"/>
      <c r="K21" s="83"/>
      <c r="L21" s="83"/>
      <c r="M21" s="83"/>
      <c r="N21" s="83"/>
      <c r="O21" s="83"/>
    </row>
    <row r="22" spans="1:15" ht="15.75">
      <c r="A22" s="86" t="s">
        <v>1167</v>
      </c>
      <c r="B22" s="83"/>
      <c r="C22" s="83"/>
      <c r="D22" s="83"/>
      <c r="E22" s="83"/>
      <c r="F22" s="83"/>
      <c r="G22" s="83"/>
      <c r="H22" s="83"/>
      <c r="I22" s="83"/>
      <c r="J22" s="83"/>
      <c r="K22" s="83"/>
      <c r="L22" s="83"/>
      <c r="M22" s="83"/>
      <c r="N22" s="83"/>
      <c r="O22" s="83"/>
    </row>
    <row r="23" spans="1:15" ht="15.75">
      <c r="A23" s="86" t="s">
        <v>1168</v>
      </c>
      <c r="B23" s="83"/>
      <c r="C23" s="83"/>
      <c r="D23" s="83"/>
      <c r="E23" s="83"/>
      <c r="F23" s="83"/>
      <c r="G23" s="83"/>
      <c r="H23" s="83"/>
      <c r="I23" s="83"/>
      <c r="J23" s="83"/>
      <c r="K23" s="83"/>
      <c r="L23" s="83"/>
      <c r="M23" s="83"/>
      <c r="N23" s="83"/>
      <c r="O23" s="83"/>
    </row>
    <row r="24" spans="1:15" ht="15.75">
      <c r="A24" s="86" t="s">
        <v>889</v>
      </c>
      <c r="B24" s="83"/>
      <c r="C24" s="83"/>
      <c r="D24" s="83"/>
      <c r="E24" s="83"/>
      <c r="F24" s="83"/>
      <c r="G24" s="83"/>
      <c r="H24" s="83"/>
      <c r="I24" s="83"/>
      <c r="J24" s="83"/>
      <c r="K24" s="83"/>
      <c r="L24" s="83"/>
      <c r="M24" s="83"/>
      <c r="N24" s="83"/>
      <c r="O24" s="83"/>
    </row>
    <row r="25" spans="1:15" ht="15.75">
      <c r="A25" s="87" t="s">
        <v>58</v>
      </c>
      <c r="B25" s="83"/>
      <c r="C25" s="83"/>
      <c r="D25" s="83"/>
      <c r="E25" s="83"/>
      <c r="F25" s="83"/>
      <c r="G25" s="83"/>
      <c r="H25" s="83"/>
      <c r="I25" s="83"/>
      <c r="J25" s="83"/>
      <c r="K25" s="83"/>
      <c r="L25" s="83"/>
      <c r="M25" s="83"/>
      <c r="N25" s="83"/>
      <c r="O25" s="83"/>
    </row>
    <row r="26" spans="1:15" ht="15.75">
      <c r="A26" s="87" t="s">
        <v>59</v>
      </c>
      <c r="B26" s="83"/>
      <c r="C26" s="83"/>
      <c r="D26" s="83"/>
      <c r="E26" s="83"/>
      <c r="F26" s="83"/>
      <c r="G26" s="83"/>
      <c r="H26" s="83"/>
      <c r="I26" s="83"/>
      <c r="J26" s="83"/>
      <c r="K26" s="83"/>
      <c r="L26" s="83"/>
      <c r="M26" s="83"/>
      <c r="N26" s="83"/>
      <c r="O26" s="83"/>
    </row>
    <row r="27" spans="1:15" ht="15.75">
      <c r="A27" s="87" t="s">
        <v>60</v>
      </c>
      <c r="B27" s="83"/>
      <c r="C27" s="83"/>
      <c r="D27" s="83"/>
      <c r="E27" s="83"/>
      <c r="F27" s="83"/>
      <c r="G27" s="83"/>
      <c r="H27" s="83"/>
      <c r="I27" s="83"/>
      <c r="J27" s="83"/>
      <c r="K27" s="83"/>
      <c r="L27" s="83"/>
      <c r="M27" s="83"/>
      <c r="N27" s="83"/>
      <c r="O27" s="83"/>
    </row>
    <row r="28" spans="1:15" ht="15.75">
      <c r="A28" s="87" t="s">
        <v>61</v>
      </c>
      <c r="B28" s="83"/>
      <c r="C28" s="83"/>
      <c r="D28" s="83"/>
      <c r="E28" s="83"/>
      <c r="F28" s="83"/>
      <c r="G28" s="83"/>
      <c r="H28" s="83"/>
      <c r="I28" s="83"/>
      <c r="J28" s="83"/>
      <c r="K28" s="83"/>
      <c r="L28" s="83"/>
      <c r="M28" s="83"/>
      <c r="N28" s="83"/>
      <c r="O28" s="83"/>
    </row>
    <row r="29" spans="1:15" ht="15.75">
      <c r="A29" s="87" t="s">
        <v>62</v>
      </c>
      <c r="B29" s="83"/>
      <c r="C29" s="83"/>
      <c r="D29" s="83"/>
      <c r="E29" s="83"/>
      <c r="F29" s="83"/>
      <c r="G29" s="83"/>
      <c r="H29" s="83"/>
      <c r="I29" s="83"/>
      <c r="J29" s="83"/>
      <c r="K29" s="83"/>
      <c r="L29" s="83"/>
      <c r="M29" s="83"/>
      <c r="N29" s="83"/>
      <c r="O29" s="83"/>
    </row>
    <row r="30" spans="1:15" ht="15.75">
      <c r="A30" s="87" t="s">
        <v>1028</v>
      </c>
      <c r="B30" s="83"/>
      <c r="C30" s="83"/>
      <c r="D30" s="83"/>
      <c r="E30" s="83"/>
      <c r="F30" s="83"/>
      <c r="G30" s="83"/>
      <c r="H30" s="83"/>
      <c r="I30" s="83"/>
      <c r="J30" s="83"/>
      <c r="K30" s="83"/>
      <c r="L30" s="83"/>
      <c r="M30" s="83"/>
      <c r="N30" s="83"/>
      <c r="O30" s="83"/>
    </row>
    <row r="31" spans="1:15" ht="15.75">
      <c r="A31" s="86" t="s">
        <v>576</v>
      </c>
      <c r="B31" s="83"/>
      <c r="C31" s="83"/>
      <c r="D31" s="83"/>
      <c r="E31" s="83"/>
      <c r="F31" s="83"/>
      <c r="G31" s="83"/>
      <c r="H31" s="83"/>
      <c r="I31" s="83"/>
      <c r="J31" s="83"/>
      <c r="K31" s="83"/>
      <c r="L31" s="83"/>
      <c r="M31" s="83"/>
      <c r="N31" s="83"/>
      <c r="O31" s="83"/>
    </row>
    <row r="32" spans="1:15" ht="15.75">
      <c r="A32" s="86" t="s">
        <v>577</v>
      </c>
      <c r="B32" s="83"/>
      <c r="C32" s="83"/>
      <c r="D32" s="83"/>
      <c r="E32" s="83"/>
      <c r="F32" s="83"/>
      <c r="G32" s="83"/>
      <c r="H32" s="83"/>
      <c r="I32" s="83"/>
      <c r="J32" s="83"/>
      <c r="K32" s="83"/>
      <c r="L32" s="83"/>
      <c r="M32" s="83"/>
      <c r="N32" s="83"/>
      <c r="O32" s="83"/>
    </row>
    <row r="33" spans="1:15" ht="15.75">
      <c r="A33" s="86" t="s">
        <v>890</v>
      </c>
      <c r="B33" s="83"/>
      <c r="C33" s="83"/>
      <c r="D33" s="83"/>
      <c r="E33" s="83"/>
      <c r="F33" s="83"/>
      <c r="G33" s="83"/>
      <c r="H33" s="83"/>
      <c r="I33" s="83"/>
      <c r="J33" s="83"/>
      <c r="K33" s="83"/>
      <c r="L33" s="83"/>
      <c r="M33" s="83"/>
      <c r="N33" s="83"/>
      <c r="O33" s="83"/>
    </row>
    <row r="34" spans="1:15" ht="15.75">
      <c r="A34" s="87" t="s">
        <v>1029</v>
      </c>
      <c r="B34" s="83"/>
      <c r="C34" s="83"/>
      <c r="D34" s="83"/>
      <c r="E34" s="83"/>
      <c r="F34" s="83"/>
      <c r="G34" s="83"/>
      <c r="H34" s="83"/>
      <c r="I34" s="83"/>
      <c r="J34" s="83"/>
      <c r="K34" s="83"/>
      <c r="L34" s="83"/>
      <c r="M34" s="83"/>
      <c r="N34" s="83"/>
      <c r="O34" s="83"/>
    </row>
    <row r="35" spans="1:15" ht="15.75">
      <c r="A35" s="87" t="s">
        <v>1030</v>
      </c>
      <c r="B35" s="83"/>
      <c r="C35" s="83"/>
      <c r="D35" s="83"/>
      <c r="E35" s="83"/>
      <c r="F35" s="83"/>
      <c r="G35" s="83"/>
      <c r="H35" s="83"/>
      <c r="I35" s="83"/>
      <c r="J35" s="83"/>
      <c r="K35" s="83"/>
      <c r="L35" s="83"/>
      <c r="M35" s="83"/>
      <c r="N35" s="83"/>
      <c r="O35" s="83"/>
    </row>
    <row r="36" spans="1:15" ht="15.75">
      <c r="A36" s="87" t="s">
        <v>1031</v>
      </c>
      <c r="B36" s="83"/>
      <c r="C36" s="83"/>
      <c r="D36" s="83"/>
      <c r="E36" s="83"/>
      <c r="F36" s="83"/>
      <c r="G36" s="83"/>
      <c r="H36" s="83"/>
      <c r="I36" s="83"/>
      <c r="J36" s="83"/>
      <c r="K36" s="83"/>
      <c r="L36" s="83"/>
      <c r="M36" s="83"/>
      <c r="N36" s="83"/>
      <c r="O36" s="83"/>
    </row>
    <row r="37" spans="1:15" ht="15.75">
      <c r="A37" s="87" t="s">
        <v>1032</v>
      </c>
      <c r="B37" s="83"/>
      <c r="C37" s="83"/>
      <c r="D37" s="83"/>
      <c r="E37" s="83"/>
      <c r="F37" s="83"/>
      <c r="G37" s="83"/>
      <c r="H37" s="83"/>
      <c r="I37" s="83"/>
      <c r="J37" s="83"/>
      <c r="K37" s="83"/>
      <c r="L37" s="83"/>
      <c r="M37" s="83"/>
      <c r="N37" s="83"/>
      <c r="O37" s="83"/>
    </row>
    <row r="38" spans="1:15" ht="15.75">
      <c r="A38" s="87" t="s">
        <v>1033</v>
      </c>
      <c r="B38" s="83"/>
      <c r="C38" s="83"/>
      <c r="D38" s="83"/>
      <c r="E38" s="83"/>
      <c r="F38" s="83"/>
      <c r="G38" s="83"/>
      <c r="H38" s="83"/>
      <c r="I38" s="83"/>
      <c r="J38" s="83"/>
      <c r="K38" s="83"/>
      <c r="L38" s="83"/>
      <c r="M38" s="83"/>
      <c r="N38" s="83"/>
      <c r="O38" s="83"/>
    </row>
    <row r="39" spans="1:15" ht="15.75">
      <c r="A39" s="86" t="s">
        <v>1328</v>
      </c>
      <c r="B39" s="83"/>
      <c r="C39" s="83"/>
      <c r="D39" s="83"/>
      <c r="E39" s="83"/>
      <c r="F39" s="83"/>
      <c r="G39" s="83"/>
      <c r="H39" s="83"/>
      <c r="I39" s="83"/>
      <c r="J39" s="83"/>
      <c r="K39" s="83"/>
      <c r="L39" s="83"/>
      <c r="M39" s="83"/>
      <c r="N39" s="83"/>
      <c r="O39" s="83"/>
    </row>
    <row r="40" spans="1:15" ht="15.75">
      <c r="A40" s="86"/>
      <c r="B40" s="83"/>
      <c r="C40" s="83"/>
      <c r="D40" s="83"/>
      <c r="E40" s="83"/>
      <c r="F40" s="83"/>
      <c r="G40" s="83"/>
      <c r="H40" s="83"/>
      <c r="I40" s="83"/>
      <c r="J40" s="83"/>
      <c r="K40" s="83"/>
      <c r="L40" s="83"/>
      <c r="M40" s="83"/>
      <c r="N40" s="83"/>
      <c r="O40" s="83"/>
    </row>
    <row r="41" spans="1:15" ht="18.75">
      <c r="A41" s="89" t="s">
        <v>1577</v>
      </c>
      <c r="B41" s="83"/>
      <c r="C41" s="83"/>
      <c r="D41" s="83"/>
      <c r="E41" s="83"/>
      <c r="F41" s="83"/>
      <c r="G41" s="83"/>
      <c r="H41" s="83"/>
      <c r="I41" s="83"/>
      <c r="J41" s="83"/>
      <c r="K41" s="83"/>
      <c r="L41" s="83"/>
      <c r="M41" s="83"/>
      <c r="N41" s="83"/>
      <c r="O41" s="83"/>
    </row>
    <row r="42" spans="1:15" ht="15.75">
      <c r="A42" s="86" t="s">
        <v>1578</v>
      </c>
      <c r="B42" s="83"/>
      <c r="C42" s="83"/>
      <c r="D42" s="83"/>
      <c r="E42" s="83"/>
      <c r="F42" s="83"/>
      <c r="G42" s="83"/>
      <c r="H42" s="83"/>
      <c r="I42" s="83"/>
      <c r="J42" s="83"/>
      <c r="K42" s="83"/>
      <c r="L42" s="83"/>
      <c r="M42" s="83"/>
      <c r="N42" s="83"/>
      <c r="O42" s="83"/>
    </row>
    <row r="43" spans="1:15" ht="15.75">
      <c r="A43" s="86" t="s">
        <v>1579</v>
      </c>
      <c r="B43" s="83"/>
      <c r="C43" s="83"/>
      <c r="D43" s="83"/>
      <c r="E43" s="83"/>
      <c r="F43" s="83"/>
      <c r="G43" s="83"/>
      <c r="H43" s="83"/>
      <c r="I43" s="83"/>
      <c r="J43" s="83"/>
      <c r="K43" s="83"/>
      <c r="L43" s="83"/>
      <c r="M43" s="83"/>
      <c r="N43" s="83"/>
      <c r="O43" s="83"/>
    </row>
    <row r="44" spans="1:15" ht="15.75">
      <c r="A44" s="87" t="s">
        <v>63</v>
      </c>
      <c r="B44" s="83"/>
      <c r="C44" s="83"/>
      <c r="D44" s="83"/>
      <c r="E44" s="83"/>
      <c r="F44" s="83"/>
      <c r="G44" s="83"/>
      <c r="H44" s="83"/>
      <c r="I44" s="83"/>
      <c r="J44" s="83"/>
      <c r="K44" s="83"/>
      <c r="L44" s="83"/>
      <c r="M44" s="83"/>
      <c r="N44" s="83"/>
      <c r="O44" s="83"/>
    </row>
    <row r="45" spans="1:15" ht="15.75">
      <c r="A45" s="87" t="s">
        <v>64</v>
      </c>
      <c r="B45" s="83"/>
      <c r="C45" s="83"/>
      <c r="D45" s="83"/>
      <c r="E45" s="83"/>
      <c r="F45" s="83"/>
      <c r="G45" s="83"/>
      <c r="H45" s="83"/>
      <c r="I45" s="83"/>
      <c r="J45" s="83"/>
      <c r="K45" s="83"/>
      <c r="L45" s="83"/>
      <c r="M45" s="83"/>
      <c r="N45" s="83"/>
      <c r="O45" s="83"/>
    </row>
    <row r="46" spans="1:15" ht="15.75">
      <c r="A46" s="87" t="s">
        <v>65</v>
      </c>
      <c r="B46" s="83"/>
      <c r="C46" s="83"/>
      <c r="D46" s="83"/>
      <c r="E46" s="83"/>
      <c r="F46" s="83"/>
      <c r="G46" s="83"/>
      <c r="H46" s="83"/>
      <c r="I46" s="83"/>
      <c r="J46" s="83"/>
      <c r="K46" s="83"/>
      <c r="L46" s="83"/>
      <c r="M46" s="83"/>
      <c r="N46" s="83"/>
      <c r="O46" s="83"/>
    </row>
    <row r="47" spans="1:15" ht="15.75">
      <c r="A47" s="86" t="s">
        <v>891</v>
      </c>
      <c r="B47" s="83"/>
      <c r="C47" s="83"/>
      <c r="D47" s="83"/>
      <c r="E47" s="83"/>
      <c r="F47" s="83"/>
      <c r="G47" s="83"/>
      <c r="H47" s="83"/>
      <c r="I47" s="83"/>
      <c r="J47" s="83"/>
      <c r="K47" s="83"/>
      <c r="L47" s="83"/>
      <c r="M47" s="83"/>
      <c r="N47" s="83"/>
      <c r="O47" s="83"/>
    </row>
    <row r="48" spans="1:15" ht="15.75">
      <c r="A48" s="88" t="s">
        <v>66</v>
      </c>
      <c r="B48" s="83"/>
      <c r="C48" s="83"/>
      <c r="D48" s="83"/>
      <c r="E48" s="83"/>
      <c r="F48" s="83"/>
      <c r="G48" s="83"/>
      <c r="H48" s="83"/>
      <c r="I48" s="83"/>
      <c r="J48" s="83"/>
      <c r="K48" s="83"/>
      <c r="L48" s="83"/>
      <c r="M48" s="83"/>
      <c r="N48" s="83"/>
      <c r="O48" s="83"/>
    </row>
    <row r="49" spans="1:15" ht="15.75">
      <c r="A49" s="88" t="s">
        <v>67</v>
      </c>
      <c r="B49" s="83"/>
      <c r="C49" s="83"/>
      <c r="D49" s="83"/>
      <c r="E49" s="83"/>
      <c r="F49" s="83"/>
      <c r="G49" s="83"/>
      <c r="H49" s="83"/>
      <c r="I49" s="83"/>
      <c r="J49" s="83"/>
      <c r="K49" s="83"/>
      <c r="L49" s="83"/>
      <c r="M49" s="83"/>
      <c r="N49" s="83"/>
      <c r="O49" s="83"/>
    </row>
    <row r="50" spans="1:15" ht="15.75">
      <c r="A50" s="88" t="s">
        <v>68</v>
      </c>
      <c r="B50" s="83"/>
      <c r="C50" s="83"/>
      <c r="D50" s="83"/>
      <c r="E50" s="83"/>
      <c r="F50" s="83"/>
      <c r="G50" s="83"/>
      <c r="H50" s="83"/>
      <c r="I50" s="83"/>
      <c r="J50" s="83"/>
      <c r="K50" s="83"/>
      <c r="L50" s="83"/>
      <c r="M50" s="83"/>
      <c r="N50" s="83"/>
      <c r="O50" s="83"/>
    </row>
    <row r="51" spans="1:15" ht="15.75">
      <c r="A51" s="88" t="s">
        <v>69</v>
      </c>
      <c r="B51" s="83"/>
      <c r="C51" s="83"/>
      <c r="D51" s="83"/>
      <c r="E51" s="83"/>
      <c r="F51" s="83"/>
      <c r="G51" s="83"/>
      <c r="H51" s="83"/>
      <c r="I51" s="83"/>
      <c r="J51" s="83"/>
      <c r="K51" s="83"/>
      <c r="L51" s="83"/>
      <c r="M51" s="83"/>
      <c r="N51" s="83"/>
      <c r="O51" s="83"/>
    </row>
    <row r="52" spans="1:15" ht="15.75">
      <c r="A52" s="88" t="s">
        <v>70</v>
      </c>
      <c r="B52" s="83"/>
      <c r="C52" s="83"/>
      <c r="D52" s="83"/>
      <c r="E52" s="83"/>
      <c r="F52" s="83"/>
      <c r="G52" s="83"/>
      <c r="H52" s="83"/>
      <c r="I52" s="83"/>
      <c r="J52" s="83"/>
      <c r="K52" s="83"/>
      <c r="L52" s="83"/>
      <c r="M52" s="83"/>
      <c r="N52" s="83"/>
      <c r="O52" s="83"/>
    </row>
    <row r="53" spans="1:15" ht="15.75">
      <c r="A53" s="88" t="s">
        <v>71</v>
      </c>
      <c r="B53" s="83"/>
      <c r="C53" s="83"/>
      <c r="D53" s="83"/>
      <c r="E53" s="83"/>
      <c r="F53" s="83"/>
      <c r="G53" s="83"/>
      <c r="H53" s="83"/>
      <c r="I53" s="83"/>
      <c r="J53" s="83"/>
      <c r="K53" s="83"/>
      <c r="L53" s="83"/>
      <c r="M53" s="83"/>
      <c r="N53" s="83"/>
      <c r="O53" s="83"/>
    </row>
    <row r="54" spans="1:15" ht="15.75">
      <c r="A54" s="88" t="s">
        <v>72</v>
      </c>
      <c r="B54" s="83"/>
      <c r="C54" s="83"/>
      <c r="D54" s="83"/>
      <c r="E54" s="83"/>
      <c r="F54" s="83"/>
      <c r="G54" s="83"/>
      <c r="H54" s="83"/>
      <c r="I54" s="83"/>
      <c r="J54" s="83"/>
      <c r="K54" s="83"/>
      <c r="L54" s="83"/>
      <c r="M54" s="83"/>
      <c r="N54" s="83"/>
      <c r="O54" s="83"/>
    </row>
    <row r="55" spans="1:15" ht="15.75">
      <c r="A55" s="88" t="s">
        <v>73</v>
      </c>
      <c r="B55" s="83"/>
      <c r="C55" s="83"/>
      <c r="D55" s="83"/>
      <c r="E55" s="83"/>
      <c r="F55" s="83"/>
      <c r="G55" s="83"/>
      <c r="H55" s="83"/>
      <c r="I55" s="83"/>
      <c r="J55" s="83"/>
      <c r="K55" s="83"/>
      <c r="L55" s="83"/>
      <c r="M55" s="83"/>
      <c r="N55" s="83"/>
      <c r="O55" s="83"/>
    </row>
    <row r="56" spans="1:15" ht="15.75">
      <c r="A56" s="88" t="s">
        <v>74</v>
      </c>
      <c r="B56" s="83"/>
      <c r="C56" s="83"/>
      <c r="D56" s="83"/>
      <c r="E56" s="83"/>
      <c r="F56" s="83"/>
      <c r="G56" s="83"/>
      <c r="H56" s="83"/>
      <c r="I56" s="83"/>
      <c r="J56" s="83"/>
      <c r="K56" s="83"/>
      <c r="L56" s="83"/>
      <c r="M56" s="83"/>
      <c r="N56" s="83"/>
      <c r="O56" s="83"/>
    </row>
    <row r="57" spans="1:15" ht="15.75">
      <c r="A57" s="88" t="s">
        <v>75</v>
      </c>
      <c r="B57" s="83"/>
      <c r="C57" s="83"/>
      <c r="D57" s="83"/>
      <c r="E57" s="83"/>
      <c r="F57" s="83"/>
      <c r="G57" s="83"/>
      <c r="H57" s="83"/>
      <c r="I57" s="83"/>
      <c r="J57" s="83"/>
      <c r="K57" s="83"/>
      <c r="L57" s="83"/>
      <c r="M57" s="83"/>
      <c r="N57" s="83"/>
      <c r="O57" s="83"/>
    </row>
    <row r="58" spans="1:15" ht="15.75">
      <c r="A58" s="88" t="s">
        <v>76</v>
      </c>
      <c r="B58" s="83"/>
      <c r="C58" s="83"/>
      <c r="D58" s="83"/>
      <c r="E58" s="83"/>
      <c r="F58" s="83"/>
      <c r="G58" s="83"/>
      <c r="H58" s="83"/>
      <c r="I58" s="83"/>
      <c r="J58" s="83"/>
      <c r="K58" s="83"/>
      <c r="L58" s="83"/>
      <c r="M58" s="83"/>
      <c r="N58" s="83"/>
      <c r="O58" s="83"/>
    </row>
    <row r="59" spans="1:15" ht="15.75">
      <c r="A59" s="88" t="s">
        <v>77</v>
      </c>
      <c r="B59" s="83"/>
      <c r="C59" s="83"/>
      <c r="D59" s="83"/>
      <c r="E59" s="83"/>
      <c r="F59" s="83"/>
      <c r="G59" s="83"/>
      <c r="H59" s="83"/>
      <c r="I59" s="83"/>
      <c r="J59" s="83"/>
      <c r="K59" s="83"/>
      <c r="L59" s="83"/>
      <c r="M59" s="83"/>
      <c r="N59" s="83"/>
      <c r="O59" s="83"/>
    </row>
    <row r="60" spans="1:15" ht="15.75">
      <c r="A60" s="86" t="s">
        <v>1329</v>
      </c>
      <c r="B60" s="83"/>
      <c r="C60" s="83"/>
      <c r="D60" s="83"/>
      <c r="E60" s="83"/>
      <c r="F60" s="83"/>
      <c r="G60" s="83"/>
      <c r="H60" s="83"/>
      <c r="I60" s="83"/>
      <c r="J60" s="83"/>
      <c r="K60" s="83"/>
      <c r="L60" s="83"/>
      <c r="M60" s="83"/>
      <c r="N60" s="83"/>
      <c r="O60" s="83"/>
    </row>
    <row r="61" spans="1:15" ht="15.75">
      <c r="A61" s="86" t="s">
        <v>892</v>
      </c>
      <c r="B61" s="83"/>
      <c r="C61" s="83"/>
      <c r="D61" s="83"/>
      <c r="E61" s="83"/>
      <c r="F61" s="83"/>
      <c r="G61" s="83"/>
      <c r="H61" s="83"/>
      <c r="I61" s="83"/>
      <c r="J61" s="83"/>
      <c r="K61" s="83"/>
      <c r="L61" s="83"/>
      <c r="M61" s="83"/>
      <c r="N61" s="83"/>
      <c r="O61" s="83"/>
    </row>
    <row r="62" spans="1:15" ht="15.75">
      <c r="A62" s="86"/>
      <c r="B62" s="83"/>
      <c r="C62" s="83"/>
      <c r="D62" s="83"/>
      <c r="E62" s="83"/>
      <c r="F62" s="83"/>
      <c r="G62" s="83"/>
      <c r="H62" s="83"/>
      <c r="I62" s="83"/>
      <c r="J62" s="83"/>
      <c r="K62" s="83"/>
      <c r="L62" s="83"/>
      <c r="M62" s="83"/>
      <c r="N62" s="83"/>
      <c r="O62" s="83"/>
    </row>
    <row r="63" spans="1:15" ht="18.75">
      <c r="A63" s="91" t="s">
        <v>78</v>
      </c>
      <c r="B63" s="83"/>
      <c r="C63" s="83"/>
      <c r="D63" s="83"/>
      <c r="E63" s="83"/>
      <c r="F63" s="83"/>
      <c r="G63" s="83"/>
      <c r="H63" s="83"/>
      <c r="I63" s="83"/>
      <c r="J63" s="83"/>
      <c r="K63" s="83"/>
      <c r="L63" s="83"/>
      <c r="M63" s="83"/>
      <c r="N63" s="83"/>
      <c r="O63" s="83"/>
    </row>
    <row r="64" spans="1:15" ht="15.75">
      <c r="A64" s="92" t="s">
        <v>893</v>
      </c>
      <c r="B64" s="83"/>
      <c r="C64" s="83"/>
      <c r="D64" s="83"/>
      <c r="E64" s="83"/>
      <c r="F64" s="83"/>
      <c r="G64" s="83"/>
      <c r="H64" s="83"/>
      <c r="I64" s="83"/>
      <c r="J64" s="83"/>
      <c r="K64" s="83"/>
      <c r="L64" s="83"/>
      <c r="M64" s="83"/>
      <c r="N64" s="83"/>
      <c r="O64" s="83"/>
    </row>
    <row r="65" spans="1:15" ht="15.75">
      <c r="A65" s="86" t="s">
        <v>79</v>
      </c>
      <c r="B65" s="83"/>
      <c r="C65" s="83"/>
      <c r="D65" s="83"/>
      <c r="E65" s="83"/>
      <c r="F65" s="83"/>
      <c r="G65" s="83"/>
      <c r="H65" s="83"/>
      <c r="I65" s="83"/>
      <c r="J65" s="83"/>
      <c r="K65" s="83"/>
      <c r="L65" s="83"/>
      <c r="M65" s="83"/>
      <c r="N65" s="83"/>
      <c r="O65" s="83"/>
    </row>
    <row r="66" spans="1:15" ht="15.75">
      <c r="A66" s="86" t="s">
        <v>894</v>
      </c>
      <c r="B66" s="83"/>
      <c r="C66" s="83"/>
      <c r="D66" s="83"/>
      <c r="E66" s="83"/>
      <c r="F66" s="83"/>
      <c r="G66" s="83"/>
      <c r="H66" s="83"/>
      <c r="I66" s="83"/>
      <c r="J66" s="83"/>
      <c r="K66" s="83"/>
      <c r="L66" s="83"/>
      <c r="M66" s="83"/>
      <c r="N66" s="83"/>
      <c r="O66" s="83"/>
    </row>
    <row r="67" spans="1:15" ht="15.75">
      <c r="A67" s="87" t="s">
        <v>80</v>
      </c>
      <c r="B67" s="83"/>
      <c r="C67" s="83"/>
      <c r="D67" s="83"/>
      <c r="E67" s="83"/>
      <c r="F67" s="83"/>
      <c r="G67" s="83"/>
      <c r="H67" s="83"/>
      <c r="I67" s="83"/>
      <c r="J67" s="83"/>
      <c r="K67" s="83"/>
      <c r="L67" s="83"/>
      <c r="M67" s="83"/>
      <c r="N67" s="83"/>
      <c r="O67" s="83"/>
    </row>
    <row r="68" spans="1:15" ht="15.75">
      <c r="A68" s="87" t="s">
        <v>81</v>
      </c>
      <c r="B68" s="83"/>
      <c r="C68" s="83"/>
      <c r="D68" s="83"/>
      <c r="E68" s="83"/>
      <c r="F68" s="83"/>
      <c r="G68" s="83"/>
      <c r="H68" s="83"/>
      <c r="I68" s="83"/>
      <c r="J68" s="83"/>
      <c r="K68" s="83"/>
      <c r="L68" s="83"/>
      <c r="M68" s="83"/>
      <c r="N68" s="83"/>
      <c r="O68" s="83"/>
    </row>
    <row r="69" spans="1:15" ht="15.75">
      <c r="A69" s="87" t="s">
        <v>82</v>
      </c>
      <c r="B69" s="83"/>
      <c r="C69" s="83"/>
      <c r="D69" s="83"/>
      <c r="E69" s="83"/>
      <c r="F69" s="83"/>
      <c r="G69" s="83"/>
      <c r="H69" s="83"/>
      <c r="I69" s="83"/>
      <c r="J69" s="83"/>
      <c r="K69" s="83"/>
      <c r="L69" s="83"/>
      <c r="M69" s="83"/>
      <c r="N69" s="83"/>
      <c r="O69" s="83"/>
    </row>
    <row r="70" spans="1:15" ht="15.75">
      <c r="A70" s="92" t="s">
        <v>895</v>
      </c>
      <c r="B70" s="83"/>
      <c r="C70" s="83"/>
      <c r="D70" s="83"/>
      <c r="E70" s="83"/>
      <c r="F70" s="83"/>
      <c r="G70" s="83"/>
      <c r="H70" s="83"/>
      <c r="I70" s="83"/>
      <c r="J70" s="83"/>
      <c r="K70" s="83"/>
      <c r="L70" s="83"/>
      <c r="M70" s="83"/>
      <c r="N70" s="83"/>
      <c r="O70" s="83"/>
    </row>
    <row r="71" spans="1:15" ht="15.75">
      <c r="A71" s="86" t="s">
        <v>896</v>
      </c>
      <c r="B71" s="83"/>
      <c r="C71" s="83"/>
      <c r="D71" s="83"/>
      <c r="E71" s="83"/>
      <c r="F71" s="83"/>
      <c r="G71" s="83"/>
      <c r="H71" s="83"/>
      <c r="I71" s="83"/>
      <c r="J71" s="83"/>
      <c r="K71" s="83"/>
      <c r="L71" s="83"/>
      <c r="M71" s="83"/>
      <c r="N71" s="83"/>
      <c r="O71" s="83"/>
    </row>
    <row r="72" spans="1:15" ht="15.75">
      <c r="A72" s="86" t="s">
        <v>83</v>
      </c>
      <c r="B72" s="83"/>
      <c r="C72" s="83"/>
      <c r="D72" s="83"/>
      <c r="E72" s="83"/>
      <c r="F72" s="83"/>
      <c r="G72" s="83"/>
      <c r="H72" s="83"/>
      <c r="I72" s="83"/>
      <c r="J72" s="83"/>
      <c r="K72" s="83"/>
      <c r="L72" s="83"/>
      <c r="M72" s="83"/>
      <c r="N72" s="83"/>
      <c r="O72" s="83"/>
    </row>
    <row r="73" spans="1:15" ht="15.75">
      <c r="A73" s="88"/>
      <c r="B73" s="83"/>
      <c r="C73" s="83"/>
      <c r="D73" s="83"/>
      <c r="E73" s="83"/>
      <c r="F73" s="83"/>
      <c r="G73" s="83"/>
      <c r="H73" s="83"/>
      <c r="I73" s="83"/>
      <c r="J73" s="83"/>
      <c r="K73" s="83"/>
      <c r="L73" s="83"/>
      <c r="M73" s="83"/>
      <c r="N73" s="83"/>
      <c r="O73" s="83"/>
    </row>
    <row r="74" spans="1:15" ht="18.75">
      <c r="A74" s="91" t="s">
        <v>84</v>
      </c>
      <c r="B74" s="83"/>
      <c r="C74" s="83"/>
      <c r="D74" s="83"/>
      <c r="E74" s="83"/>
      <c r="F74" s="83"/>
      <c r="G74" s="83"/>
      <c r="H74" s="83"/>
      <c r="I74" s="83"/>
      <c r="J74" s="83"/>
      <c r="K74" s="83"/>
      <c r="L74" s="83"/>
      <c r="M74" s="83"/>
      <c r="N74" s="83"/>
      <c r="O74" s="83"/>
    </row>
    <row r="75" spans="1:15" ht="15.75">
      <c r="A75" s="86" t="s">
        <v>85</v>
      </c>
      <c r="B75" s="83"/>
      <c r="C75" s="83"/>
      <c r="D75" s="83"/>
      <c r="E75" s="83"/>
      <c r="F75" s="83"/>
      <c r="G75" s="83"/>
      <c r="H75" s="83"/>
      <c r="I75" s="83"/>
      <c r="J75" s="83"/>
      <c r="K75" s="83"/>
      <c r="L75" s="83"/>
      <c r="M75" s="83"/>
      <c r="N75" s="83"/>
      <c r="O75" s="83"/>
    </row>
    <row r="76" spans="1:15" ht="15.75">
      <c r="A76" s="86" t="s">
        <v>23</v>
      </c>
      <c r="B76" s="83"/>
      <c r="C76" s="83"/>
      <c r="D76" s="83"/>
      <c r="E76" s="83"/>
      <c r="F76" s="83"/>
      <c r="G76" s="83"/>
      <c r="H76" s="83"/>
      <c r="I76" s="83"/>
      <c r="J76" s="83"/>
      <c r="K76" s="83"/>
      <c r="L76" s="83"/>
      <c r="M76" s="83"/>
      <c r="N76" s="83"/>
      <c r="O76" s="83"/>
    </row>
    <row r="77" spans="1:15" ht="15.75">
      <c r="A77" s="87" t="s">
        <v>86</v>
      </c>
      <c r="B77" s="83"/>
      <c r="C77" s="83"/>
      <c r="D77" s="83"/>
      <c r="E77" s="83"/>
      <c r="F77" s="83"/>
      <c r="G77" s="83"/>
      <c r="H77" s="83"/>
      <c r="I77" s="83"/>
      <c r="J77" s="83"/>
      <c r="K77" s="83"/>
      <c r="L77" s="83"/>
      <c r="M77" s="83"/>
      <c r="N77" s="83"/>
      <c r="O77" s="83"/>
    </row>
    <row r="78" spans="1:15" ht="15.75">
      <c r="A78" s="87" t="s">
        <v>87</v>
      </c>
      <c r="B78" s="83"/>
      <c r="C78" s="83"/>
      <c r="D78" s="83"/>
      <c r="E78" s="83"/>
      <c r="F78" s="83"/>
      <c r="G78" s="83"/>
      <c r="H78" s="83"/>
      <c r="I78" s="83"/>
      <c r="J78" s="83"/>
      <c r="K78" s="83"/>
      <c r="L78" s="83"/>
      <c r="M78" s="83"/>
      <c r="N78" s="83"/>
      <c r="O78" s="83"/>
    </row>
    <row r="79" spans="1:15" ht="15.75">
      <c r="A79" s="87" t="s">
        <v>88</v>
      </c>
      <c r="B79" s="83"/>
      <c r="C79" s="83"/>
      <c r="D79" s="83"/>
      <c r="E79" s="83"/>
      <c r="F79" s="83"/>
      <c r="G79" s="83"/>
      <c r="H79" s="83"/>
      <c r="I79" s="83"/>
      <c r="J79" s="83"/>
      <c r="K79" s="83"/>
      <c r="L79" s="83"/>
      <c r="M79" s="83"/>
      <c r="N79" s="83"/>
      <c r="O79" s="83"/>
    </row>
    <row r="80" spans="1:15" ht="15.75">
      <c r="A80" s="87" t="s">
        <v>578</v>
      </c>
      <c r="B80" s="83"/>
      <c r="C80" s="83"/>
      <c r="D80" s="83"/>
      <c r="E80" s="83"/>
      <c r="F80" s="83"/>
      <c r="G80" s="83"/>
      <c r="H80" s="83"/>
      <c r="I80" s="83"/>
      <c r="J80" s="83"/>
      <c r="K80" s="83"/>
      <c r="L80" s="83"/>
      <c r="M80" s="83"/>
      <c r="N80" s="83"/>
      <c r="O80" s="83"/>
    </row>
    <row r="81" spans="1:15" ht="15.75">
      <c r="A81" s="87"/>
      <c r="B81" s="141" t="s">
        <v>579</v>
      </c>
      <c r="C81" s="83"/>
      <c r="D81" s="83"/>
      <c r="E81" s="83"/>
      <c r="F81" s="83"/>
      <c r="G81" s="83"/>
      <c r="H81" s="83"/>
      <c r="I81" s="83"/>
      <c r="J81" s="83"/>
      <c r="K81" s="83"/>
      <c r="L81" s="83"/>
      <c r="M81" s="83"/>
      <c r="N81" s="83"/>
      <c r="O81" s="83"/>
    </row>
    <row r="82" spans="1:15" ht="15.75">
      <c r="A82" s="87" t="s">
        <v>89</v>
      </c>
      <c r="B82" s="83"/>
      <c r="C82" s="83"/>
      <c r="D82" s="83"/>
      <c r="E82" s="83"/>
      <c r="F82" s="83"/>
      <c r="G82" s="83"/>
      <c r="H82" s="83"/>
      <c r="I82" s="83"/>
      <c r="J82" s="83"/>
      <c r="K82" s="83"/>
      <c r="L82" s="83"/>
      <c r="M82" s="83"/>
      <c r="N82" s="83"/>
      <c r="O82" s="83"/>
    </row>
    <row r="83" spans="1:15" ht="15.75">
      <c r="A83" s="87" t="s">
        <v>90</v>
      </c>
      <c r="B83" s="83"/>
      <c r="C83" s="83"/>
      <c r="D83" s="83"/>
      <c r="E83" s="83"/>
      <c r="F83" s="83"/>
      <c r="G83" s="83"/>
      <c r="H83" s="83"/>
      <c r="I83" s="83"/>
      <c r="J83" s="83"/>
      <c r="K83" s="83"/>
      <c r="L83" s="83"/>
      <c r="M83" s="83"/>
      <c r="N83" s="83"/>
      <c r="O83" s="83"/>
    </row>
    <row r="84" spans="1:15" ht="15.75">
      <c r="A84" s="87" t="s">
        <v>1169</v>
      </c>
      <c r="B84" s="83"/>
      <c r="C84" s="83"/>
      <c r="D84" s="83"/>
      <c r="E84" s="83"/>
      <c r="F84" s="83"/>
      <c r="G84" s="83"/>
      <c r="H84" s="83"/>
      <c r="I84" s="83"/>
      <c r="J84" s="83"/>
      <c r="K84" s="83"/>
      <c r="L84" s="83"/>
      <c r="M84" s="83"/>
      <c r="N84" s="83"/>
      <c r="O84" s="83"/>
    </row>
    <row r="85" spans="1:15" ht="15.75">
      <c r="A85" s="87" t="s">
        <v>1170</v>
      </c>
      <c r="B85" s="83"/>
      <c r="C85" s="83"/>
      <c r="D85" s="83"/>
      <c r="E85" s="83"/>
      <c r="F85" s="83"/>
      <c r="G85" s="83"/>
      <c r="H85" s="83"/>
      <c r="I85" s="83"/>
      <c r="J85" s="83"/>
      <c r="K85" s="83"/>
      <c r="L85" s="83"/>
      <c r="M85" s="83"/>
      <c r="N85" s="83"/>
      <c r="O85" s="83"/>
    </row>
    <row r="86" spans="1:15" ht="15.75">
      <c r="A86" s="86" t="s">
        <v>1200</v>
      </c>
      <c r="B86" s="83"/>
      <c r="C86" s="83"/>
      <c r="D86" s="83"/>
      <c r="E86" s="83"/>
      <c r="F86" s="83"/>
      <c r="G86" s="83"/>
      <c r="H86" s="83"/>
      <c r="I86" s="83"/>
      <c r="J86" s="83"/>
      <c r="K86" s="83"/>
      <c r="L86" s="83"/>
      <c r="M86" s="83"/>
      <c r="N86" s="83"/>
      <c r="O86" s="83"/>
    </row>
    <row r="87" spans="1:15" ht="15.75">
      <c r="A87" s="92" t="s">
        <v>91</v>
      </c>
      <c r="B87" s="83"/>
      <c r="C87" s="83"/>
      <c r="D87" s="83"/>
      <c r="E87" s="83"/>
      <c r="F87" s="83"/>
      <c r="G87" s="83"/>
      <c r="H87" s="83"/>
      <c r="I87" s="83"/>
      <c r="J87" s="83"/>
      <c r="K87" s="83"/>
      <c r="L87" s="83"/>
      <c r="M87" s="83"/>
      <c r="N87" s="83"/>
      <c r="O87" s="83"/>
    </row>
    <row r="88" spans="1:15" ht="15.75">
      <c r="A88" s="86" t="s">
        <v>1171</v>
      </c>
      <c r="B88" s="83"/>
      <c r="C88" s="83"/>
      <c r="D88" s="83"/>
      <c r="E88" s="83"/>
      <c r="F88" s="83"/>
      <c r="G88" s="83"/>
      <c r="H88" s="83"/>
      <c r="I88" s="83"/>
      <c r="J88" s="83"/>
      <c r="K88" s="83"/>
      <c r="L88" s="83"/>
      <c r="M88" s="83"/>
      <c r="N88" s="83"/>
      <c r="O88" s="83"/>
    </row>
    <row r="89" spans="1:15" ht="15.75">
      <c r="A89" s="86" t="s">
        <v>1172</v>
      </c>
      <c r="B89" s="83"/>
      <c r="C89" s="83"/>
      <c r="D89" s="83"/>
      <c r="E89" s="83"/>
      <c r="F89" s="83"/>
      <c r="G89" s="83"/>
      <c r="H89" s="83"/>
      <c r="I89" s="83"/>
      <c r="J89" s="83"/>
      <c r="K89" s="83"/>
      <c r="L89" s="83"/>
      <c r="M89" s="83"/>
      <c r="N89" s="83"/>
      <c r="O89" s="83"/>
    </row>
    <row r="90" spans="1:15" ht="15.75">
      <c r="A90" s="86" t="s">
        <v>1173</v>
      </c>
      <c r="B90" s="83"/>
      <c r="C90" s="83"/>
      <c r="D90" s="83"/>
      <c r="E90" s="83"/>
      <c r="F90" s="83"/>
      <c r="G90" s="83"/>
      <c r="H90" s="83"/>
      <c r="I90" s="83"/>
      <c r="J90" s="83"/>
      <c r="K90" s="83"/>
      <c r="L90" s="83"/>
      <c r="M90" s="83"/>
      <c r="N90" s="83"/>
      <c r="O90" s="83"/>
    </row>
    <row r="91" spans="1:15" ht="15.75">
      <c r="A91" s="86" t="s">
        <v>1174</v>
      </c>
      <c r="B91" s="83"/>
      <c r="C91" s="83"/>
      <c r="D91" s="83"/>
      <c r="E91" s="83"/>
      <c r="F91" s="83"/>
      <c r="G91" s="83"/>
      <c r="H91" s="83"/>
      <c r="I91" s="83"/>
      <c r="J91" s="83"/>
      <c r="K91" s="83"/>
      <c r="L91" s="83"/>
      <c r="M91" s="83"/>
      <c r="N91" s="83"/>
      <c r="O91" s="83"/>
    </row>
    <row r="92" spans="1:15" ht="15.75">
      <c r="A92" s="86"/>
      <c r="B92" s="83"/>
      <c r="C92" s="83"/>
      <c r="D92" s="83"/>
      <c r="E92" s="83"/>
      <c r="F92" s="83"/>
      <c r="G92" s="83"/>
      <c r="H92" s="83"/>
      <c r="I92" s="83"/>
      <c r="J92" s="83"/>
      <c r="K92" s="83"/>
      <c r="L92" s="83"/>
      <c r="M92" s="83"/>
      <c r="N92" s="83"/>
      <c r="O92" s="83"/>
    </row>
    <row r="93" spans="1:15" ht="18.75">
      <c r="A93" s="91" t="s">
        <v>92</v>
      </c>
      <c r="B93" s="83"/>
      <c r="C93" s="83"/>
      <c r="D93" s="83"/>
      <c r="E93" s="83"/>
      <c r="F93" s="83"/>
      <c r="G93" s="83"/>
      <c r="H93" s="83"/>
      <c r="I93" s="83"/>
      <c r="J93" s="83"/>
      <c r="K93" s="83"/>
      <c r="L93" s="83"/>
      <c r="M93" s="83"/>
      <c r="N93" s="83"/>
      <c r="O93" s="83"/>
    </row>
    <row r="94" spans="1:15" ht="15.75">
      <c r="A94" s="92" t="s">
        <v>93</v>
      </c>
      <c r="B94" s="83"/>
      <c r="C94" s="83"/>
      <c r="D94" s="83"/>
      <c r="E94" s="83"/>
      <c r="F94" s="83"/>
      <c r="G94" s="83"/>
      <c r="H94" s="83"/>
      <c r="I94" s="83"/>
      <c r="J94" s="83"/>
      <c r="K94" s="83"/>
      <c r="L94" s="83"/>
      <c r="M94" s="83"/>
      <c r="N94" s="83"/>
      <c r="O94" s="83"/>
    </row>
    <row r="95" spans="1:15" ht="15.75">
      <c r="A95" s="140" t="s">
        <v>1175</v>
      </c>
      <c r="B95" s="83"/>
      <c r="C95" s="83"/>
      <c r="D95" s="83"/>
      <c r="E95" s="83"/>
      <c r="F95" s="83"/>
      <c r="G95" s="83"/>
      <c r="H95" s="83"/>
      <c r="I95" s="83"/>
      <c r="J95" s="83"/>
      <c r="K95" s="83"/>
      <c r="L95" s="83"/>
      <c r="M95" s="83"/>
      <c r="N95" s="83"/>
      <c r="O95" s="83"/>
    </row>
    <row r="96" spans="1:15" ht="15.75">
      <c r="A96" s="140" t="s">
        <v>1176</v>
      </c>
      <c r="B96" s="83"/>
      <c r="C96" s="83"/>
      <c r="D96" s="83"/>
      <c r="E96" s="83"/>
      <c r="F96" s="83"/>
      <c r="G96" s="83"/>
      <c r="H96" s="83"/>
      <c r="I96" s="83"/>
      <c r="J96" s="83"/>
      <c r="K96" s="83"/>
      <c r="L96" s="83"/>
      <c r="M96" s="83"/>
      <c r="N96" s="83"/>
      <c r="O96" s="83"/>
    </row>
    <row r="97" spans="1:15" ht="15.75">
      <c r="A97" s="86" t="s">
        <v>1177</v>
      </c>
      <c r="B97" s="83"/>
      <c r="C97" s="83"/>
      <c r="D97" s="83"/>
      <c r="E97" s="83"/>
      <c r="F97" s="83"/>
      <c r="G97" s="83"/>
      <c r="H97" s="83"/>
      <c r="I97" s="83"/>
      <c r="J97" s="83"/>
      <c r="K97" s="83"/>
      <c r="L97" s="83"/>
      <c r="M97" s="83"/>
      <c r="N97" s="83"/>
      <c r="O97" s="83"/>
    </row>
    <row r="98" spans="1:15" ht="15.75">
      <c r="A98" s="86" t="s">
        <v>1178</v>
      </c>
      <c r="B98" s="83"/>
      <c r="C98" s="83"/>
      <c r="D98" s="83"/>
      <c r="E98" s="83"/>
      <c r="F98" s="83"/>
      <c r="G98" s="83"/>
      <c r="H98" s="83"/>
      <c r="I98" s="83"/>
      <c r="J98" s="83"/>
      <c r="K98" s="83"/>
      <c r="L98" s="83"/>
      <c r="M98" s="83"/>
      <c r="N98" s="83"/>
      <c r="O98" s="83"/>
    </row>
    <row r="99" spans="1:15" ht="15.75">
      <c r="A99" s="86" t="s">
        <v>580</v>
      </c>
      <c r="B99" s="83"/>
      <c r="C99" s="83"/>
      <c r="D99" s="83"/>
      <c r="E99" s="83"/>
      <c r="F99" s="83"/>
      <c r="G99" s="83"/>
      <c r="H99" s="83"/>
      <c r="I99" s="83"/>
      <c r="J99" s="83"/>
      <c r="K99" s="83"/>
      <c r="L99" s="83"/>
      <c r="M99" s="83"/>
      <c r="N99" s="83"/>
      <c r="O99" s="83"/>
    </row>
    <row r="100" spans="1:15" ht="15.75">
      <c r="A100" s="87" t="s">
        <v>565</v>
      </c>
      <c r="B100" s="83"/>
      <c r="C100" s="83"/>
      <c r="D100" s="83"/>
      <c r="E100" s="83"/>
      <c r="F100" s="83"/>
      <c r="G100" s="83"/>
      <c r="H100" s="83"/>
      <c r="I100" s="83"/>
      <c r="J100" s="83"/>
      <c r="K100" s="83"/>
      <c r="L100" s="83"/>
      <c r="M100" s="83"/>
      <c r="N100" s="83"/>
      <c r="O100" s="83"/>
    </row>
    <row r="101" spans="1:15" ht="15.75">
      <c r="A101" s="87" t="s">
        <v>94</v>
      </c>
      <c r="B101" s="83"/>
      <c r="C101" s="83"/>
      <c r="D101" s="83"/>
      <c r="E101" s="83"/>
      <c r="F101" s="83"/>
      <c r="G101" s="83"/>
      <c r="H101" s="83"/>
      <c r="I101" s="83"/>
      <c r="J101" s="83"/>
      <c r="K101" s="83"/>
      <c r="L101" s="83"/>
      <c r="M101" s="83"/>
      <c r="N101" s="83"/>
      <c r="O101" s="83"/>
    </row>
    <row r="102" spans="1:15" ht="15.75">
      <c r="A102" s="93" t="s">
        <v>95</v>
      </c>
      <c r="B102" s="83"/>
      <c r="C102" s="83"/>
      <c r="D102" s="83"/>
      <c r="E102" s="83"/>
      <c r="F102" s="83"/>
      <c r="G102" s="83"/>
      <c r="H102" s="83"/>
      <c r="I102" s="83"/>
      <c r="J102" s="83"/>
      <c r="K102" s="83"/>
      <c r="L102" s="83"/>
      <c r="M102" s="83"/>
      <c r="N102" s="83"/>
      <c r="O102" s="83"/>
    </row>
    <row r="103" spans="1:15" ht="15.75">
      <c r="A103" s="94" t="s">
        <v>96</v>
      </c>
      <c r="B103" s="83"/>
      <c r="C103" s="83"/>
      <c r="D103" s="83"/>
      <c r="E103" s="83"/>
      <c r="F103" s="83"/>
      <c r="G103" s="83"/>
      <c r="H103" s="83"/>
      <c r="I103" s="83"/>
      <c r="J103" s="83"/>
      <c r="K103" s="83"/>
      <c r="L103" s="83"/>
      <c r="M103" s="83"/>
      <c r="N103" s="83"/>
      <c r="O103" s="83"/>
    </row>
    <row r="104" spans="1:15" ht="15.75">
      <c r="A104" s="87" t="s">
        <v>97</v>
      </c>
      <c r="B104" s="83"/>
      <c r="C104" s="83"/>
      <c r="D104" s="83"/>
      <c r="E104" s="83"/>
      <c r="F104" s="83"/>
      <c r="G104" s="83"/>
      <c r="H104" s="83"/>
      <c r="I104" s="83"/>
      <c r="J104" s="83"/>
      <c r="K104" s="83"/>
      <c r="L104" s="83"/>
      <c r="M104" s="83"/>
      <c r="N104" s="83"/>
      <c r="O104" s="83"/>
    </row>
    <row r="105" spans="1:15" ht="15.75">
      <c r="A105" s="87" t="s">
        <v>98</v>
      </c>
      <c r="B105" s="83"/>
      <c r="C105" s="83"/>
      <c r="D105" s="83"/>
      <c r="E105" s="83"/>
      <c r="F105" s="83"/>
      <c r="G105" s="83"/>
      <c r="H105" s="83"/>
      <c r="I105" s="83"/>
      <c r="J105" s="83"/>
      <c r="K105" s="83"/>
      <c r="L105" s="83"/>
      <c r="M105" s="83"/>
      <c r="N105" s="83"/>
      <c r="O105" s="83"/>
    </row>
    <row r="106" spans="1:15" ht="15.75">
      <c r="A106" s="87" t="s">
        <v>99</v>
      </c>
      <c r="B106" s="83"/>
      <c r="C106" s="83"/>
      <c r="D106" s="83"/>
      <c r="E106" s="83"/>
      <c r="F106" s="83"/>
      <c r="G106" s="83"/>
      <c r="H106" s="83"/>
      <c r="I106" s="83"/>
      <c r="J106" s="83"/>
      <c r="K106" s="83"/>
      <c r="L106" s="83"/>
      <c r="M106" s="83"/>
      <c r="N106" s="83"/>
      <c r="O106" s="83"/>
    </row>
    <row r="107" spans="1:15" ht="15.75">
      <c r="A107" s="87" t="s">
        <v>100</v>
      </c>
      <c r="B107" s="83"/>
      <c r="C107" s="83"/>
      <c r="D107" s="83"/>
      <c r="E107" s="83"/>
      <c r="F107" s="83"/>
      <c r="G107" s="83"/>
      <c r="H107" s="83"/>
      <c r="I107" s="83"/>
      <c r="J107" s="83"/>
      <c r="K107" s="83"/>
      <c r="L107" s="83"/>
      <c r="M107" s="83"/>
      <c r="N107" s="83"/>
      <c r="O107" s="83"/>
    </row>
    <row r="108" spans="1:15" ht="15.75">
      <c r="A108" s="87" t="s">
        <v>101</v>
      </c>
      <c r="B108" s="83"/>
      <c r="C108" s="83"/>
      <c r="D108" s="83"/>
      <c r="E108" s="83"/>
      <c r="F108" s="83"/>
      <c r="G108" s="83"/>
      <c r="H108" s="83"/>
      <c r="I108" s="83"/>
      <c r="J108" s="83"/>
      <c r="K108" s="83"/>
      <c r="L108" s="83"/>
      <c r="M108" s="83"/>
      <c r="N108" s="83"/>
      <c r="O108" s="83"/>
    </row>
    <row r="109" spans="1:15" ht="15.75">
      <c r="A109" s="87" t="s">
        <v>102</v>
      </c>
      <c r="B109" s="83"/>
      <c r="C109" s="83"/>
      <c r="D109" s="83"/>
      <c r="E109" s="83"/>
      <c r="F109" s="83"/>
      <c r="G109" s="83"/>
      <c r="H109" s="83"/>
      <c r="I109" s="83"/>
      <c r="J109" s="83"/>
      <c r="K109" s="83"/>
      <c r="L109" s="83"/>
      <c r="M109" s="83"/>
      <c r="N109" s="83"/>
      <c r="O109" s="83"/>
    </row>
    <row r="110" spans="1:15" ht="15.75">
      <c r="A110" s="87" t="s">
        <v>103</v>
      </c>
      <c r="B110" s="83"/>
      <c r="C110" s="83"/>
      <c r="D110" s="83"/>
      <c r="E110" s="83"/>
      <c r="F110" s="83"/>
      <c r="G110" s="83"/>
      <c r="H110" s="83"/>
      <c r="I110" s="83"/>
      <c r="J110" s="83"/>
      <c r="K110" s="83"/>
      <c r="L110" s="83"/>
      <c r="M110" s="83"/>
      <c r="N110" s="83"/>
      <c r="O110" s="83"/>
    </row>
    <row r="111" spans="1:15" ht="15.75">
      <c r="A111" s="86"/>
      <c r="B111" s="83"/>
      <c r="C111" s="83"/>
      <c r="D111" s="83"/>
      <c r="E111" s="83"/>
      <c r="F111" s="83"/>
      <c r="G111" s="83"/>
      <c r="H111" s="83"/>
      <c r="I111" s="83"/>
      <c r="J111" s="83"/>
      <c r="K111" s="83"/>
      <c r="L111" s="83"/>
      <c r="M111" s="83"/>
      <c r="N111" s="83"/>
      <c r="O111" s="83"/>
    </row>
    <row r="112" spans="1:15" ht="18.75">
      <c r="A112" s="95" t="s">
        <v>104</v>
      </c>
      <c r="B112" s="83"/>
      <c r="C112" s="83"/>
      <c r="D112" s="83"/>
      <c r="E112" s="83"/>
      <c r="F112" s="83"/>
      <c r="G112" s="83"/>
      <c r="H112" s="83"/>
      <c r="I112" s="83"/>
      <c r="J112" s="83"/>
      <c r="K112" s="83"/>
      <c r="L112" s="83"/>
      <c r="M112" s="83"/>
      <c r="N112" s="83"/>
      <c r="O112" s="83"/>
    </row>
    <row r="113" spans="1:15" ht="15.75">
      <c r="A113" s="96" t="s">
        <v>24</v>
      </c>
      <c r="B113" s="83"/>
      <c r="C113" s="83"/>
      <c r="D113" s="83"/>
      <c r="E113" s="83"/>
      <c r="F113" s="83"/>
      <c r="G113" s="83"/>
      <c r="H113" s="83"/>
      <c r="I113" s="83"/>
      <c r="J113" s="83"/>
      <c r="K113" s="83"/>
      <c r="L113" s="83"/>
      <c r="M113" s="83"/>
      <c r="N113" s="83"/>
      <c r="O113" s="83"/>
    </row>
    <row r="114" spans="1:15" ht="15.75">
      <c r="A114" s="86" t="s">
        <v>25</v>
      </c>
      <c r="B114" s="83"/>
      <c r="C114" s="83"/>
      <c r="D114" s="83"/>
      <c r="E114" s="83"/>
      <c r="F114" s="83"/>
      <c r="G114" s="83"/>
      <c r="H114" s="83"/>
      <c r="I114" s="83"/>
      <c r="J114" s="83"/>
      <c r="K114" s="83"/>
      <c r="L114" s="83"/>
      <c r="M114" s="83"/>
      <c r="N114" s="83"/>
      <c r="O114" s="83"/>
    </row>
    <row r="115" spans="1:15" ht="15.75">
      <c r="A115" s="86" t="s">
        <v>26</v>
      </c>
      <c r="B115" s="83"/>
      <c r="C115" s="83"/>
      <c r="D115" s="83"/>
      <c r="E115" s="83"/>
      <c r="F115" s="83"/>
      <c r="G115" s="83"/>
      <c r="H115" s="83"/>
      <c r="I115" s="83"/>
      <c r="J115" s="83"/>
      <c r="K115" s="83"/>
      <c r="L115" s="83"/>
      <c r="M115" s="83"/>
      <c r="N115" s="83"/>
      <c r="O115" s="83"/>
    </row>
    <row r="116" spans="1:15" ht="15.75">
      <c r="A116" s="86" t="s">
        <v>27</v>
      </c>
      <c r="B116" s="83"/>
      <c r="C116" s="83"/>
      <c r="D116" s="83"/>
      <c r="E116" s="83"/>
      <c r="F116" s="83"/>
      <c r="G116" s="83"/>
      <c r="H116" s="83"/>
      <c r="I116" s="83"/>
      <c r="J116" s="83"/>
      <c r="K116" s="83"/>
      <c r="L116" s="83"/>
      <c r="M116" s="83"/>
      <c r="N116" s="83"/>
      <c r="O116" s="83"/>
    </row>
    <row r="117" spans="1:15" ht="15.75">
      <c r="A117" s="92" t="s">
        <v>28</v>
      </c>
      <c r="B117" s="83"/>
      <c r="C117" s="83"/>
      <c r="D117" s="83"/>
      <c r="E117" s="83"/>
      <c r="F117" s="83"/>
      <c r="G117" s="83"/>
      <c r="H117" s="83"/>
      <c r="I117" s="83"/>
      <c r="J117" s="83"/>
      <c r="K117" s="83"/>
      <c r="L117" s="83"/>
      <c r="M117" s="83"/>
      <c r="N117" s="83"/>
      <c r="O117" s="83"/>
    </row>
    <row r="118" spans="1:15" ht="15.75">
      <c r="A118" s="87" t="s">
        <v>105</v>
      </c>
      <c r="B118" s="83"/>
      <c r="C118" s="83"/>
      <c r="D118" s="83"/>
      <c r="E118" s="83"/>
      <c r="F118" s="83"/>
      <c r="G118" s="83"/>
      <c r="H118" s="83"/>
      <c r="I118" s="83"/>
      <c r="J118" s="83"/>
      <c r="K118" s="83"/>
      <c r="L118" s="83"/>
      <c r="M118" s="83"/>
      <c r="N118" s="83"/>
      <c r="O118" s="83"/>
    </row>
    <row r="119" spans="1:15" ht="15.75">
      <c r="A119" s="87" t="s">
        <v>581</v>
      </c>
      <c r="B119" s="83"/>
      <c r="C119" s="83"/>
      <c r="D119" s="83"/>
      <c r="E119" s="83"/>
      <c r="F119" s="83"/>
      <c r="G119" s="83"/>
      <c r="H119" s="83"/>
      <c r="I119" s="83"/>
      <c r="J119" s="83"/>
      <c r="K119" s="83"/>
      <c r="L119" s="83"/>
      <c r="M119" s="83"/>
      <c r="N119" s="83"/>
      <c r="O119" s="83"/>
    </row>
    <row r="120" spans="1:15" ht="15.75">
      <c r="A120" s="87"/>
      <c r="B120" s="141" t="s">
        <v>582</v>
      </c>
      <c r="C120" s="83"/>
      <c r="D120" s="83"/>
      <c r="E120" s="83"/>
      <c r="F120" s="83"/>
      <c r="G120" s="83"/>
      <c r="H120" s="83"/>
      <c r="I120" s="83"/>
      <c r="J120" s="83"/>
      <c r="K120" s="83"/>
      <c r="L120" s="83"/>
      <c r="M120" s="83"/>
      <c r="N120" s="83"/>
      <c r="O120" s="83"/>
    </row>
    <row r="121" spans="1:15" ht="15.75">
      <c r="A121" s="87" t="s">
        <v>106</v>
      </c>
      <c r="B121" s="83"/>
      <c r="C121" s="83"/>
      <c r="D121" s="83"/>
      <c r="E121" s="83"/>
      <c r="F121" s="83"/>
      <c r="G121" s="83"/>
      <c r="H121" s="83"/>
      <c r="I121" s="83"/>
      <c r="J121" s="83"/>
      <c r="K121" s="83"/>
      <c r="L121" s="83"/>
      <c r="M121" s="83"/>
      <c r="N121" s="83"/>
      <c r="O121" s="83"/>
    </row>
    <row r="122" spans="1:15" ht="15.75">
      <c r="A122" s="87" t="s">
        <v>107</v>
      </c>
      <c r="B122" s="83"/>
      <c r="C122" s="83"/>
      <c r="D122" s="83"/>
      <c r="E122" s="83"/>
      <c r="F122" s="83"/>
      <c r="G122" s="83"/>
      <c r="H122" s="83"/>
      <c r="I122" s="83"/>
      <c r="J122" s="83"/>
      <c r="K122" s="83"/>
      <c r="L122" s="83"/>
      <c r="M122" s="83"/>
      <c r="N122" s="83"/>
      <c r="O122" s="83"/>
    </row>
    <row r="123" spans="1:15" ht="15.75">
      <c r="A123" s="88"/>
      <c r="B123" s="83"/>
      <c r="C123" s="83"/>
      <c r="D123" s="83"/>
      <c r="E123" s="83"/>
      <c r="F123" s="83"/>
      <c r="G123" s="83"/>
      <c r="H123" s="83"/>
      <c r="I123" s="83"/>
      <c r="J123" s="83"/>
      <c r="K123" s="83"/>
      <c r="L123" s="83"/>
      <c r="M123" s="83"/>
      <c r="N123" s="83"/>
      <c r="O123" s="83"/>
    </row>
    <row r="124" spans="1:15" ht="18.75">
      <c r="A124" s="91" t="s">
        <v>108</v>
      </c>
      <c r="B124" s="83"/>
      <c r="C124" s="83"/>
      <c r="D124" s="83"/>
      <c r="E124" s="83"/>
      <c r="F124" s="83"/>
      <c r="G124" s="83"/>
      <c r="H124" s="83"/>
      <c r="I124" s="83"/>
      <c r="J124" s="83"/>
      <c r="K124" s="83"/>
      <c r="L124" s="83"/>
      <c r="M124" s="83"/>
      <c r="N124" s="83"/>
      <c r="O124" s="83"/>
    </row>
    <row r="125" spans="1:15" ht="15.75">
      <c r="A125" s="92" t="s">
        <v>29</v>
      </c>
      <c r="B125" s="83"/>
      <c r="C125" s="83"/>
      <c r="D125" s="83"/>
      <c r="E125" s="83"/>
      <c r="F125" s="83"/>
      <c r="G125" s="83"/>
      <c r="H125" s="83"/>
      <c r="I125" s="83"/>
      <c r="J125" s="83"/>
      <c r="K125" s="83"/>
      <c r="L125" s="83"/>
      <c r="M125" s="83"/>
      <c r="N125" s="83"/>
      <c r="O125" s="83"/>
    </row>
    <row r="126" spans="1:15" ht="15.75">
      <c r="A126" s="87" t="s">
        <v>109</v>
      </c>
      <c r="B126" s="83"/>
      <c r="C126" s="83"/>
      <c r="D126" s="83"/>
      <c r="E126" s="83"/>
      <c r="F126" s="83"/>
      <c r="G126" s="83"/>
      <c r="H126" s="83"/>
      <c r="I126" s="83"/>
      <c r="J126" s="83"/>
      <c r="K126" s="83"/>
      <c r="L126" s="83"/>
      <c r="M126" s="83"/>
      <c r="N126" s="83"/>
      <c r="O126" s="83"/>
    </row>
    <row r="127" spans="1:15" ht="15.75">
      <c r="A127" s="87" t="s">
        <v>110</v>
      </c>
      <c r="B127" s="83"/>
      <c r="C127" s="83"/>
      <c r="D127" s="83"/>
      <c r="E127" s="83"/>
      <c r="F127" s="83"/>
      <c r="G127" s="83"/>
      <c r="H127" s="83"/>
      <c r="I127" s="83"/>
      <c r="J127" s="83"/>
      <c r="K127" s="83"/>
      <c r="L127" s="83"/>
      <c r="M127" s="83"/>
      <c r="N127" s="83"/>
      <c r="O127" s="83"/>
    </row>
    <row r="128" spans="1:15" ht="15.75">
      <c r="A128" s="92" t="s">
        <v>30</v>
      </c>
      <c r="B128" s="83"/>
      <c r="C128" s="83"/>
      <c r="D128" s="83"/>
      <c r="E128" s="83"/>
      <c r="F128" s="83"/>
      <c r="G128" s="83"/>
      <c r="H128" s="83"/>
      <c r="I128" s="83"/>
      <c r="J128" s="83"/>
      <c r="K128" s="83"/>
      <c r="L128" s="83"/>
      <c r="M128" s="83"/>
      <c r="N128" s="83"/>
      <c r="O128" s="83"/>
    </row>
    <row r="129" spans="1:15" ht="15.75">
      <c r="A129" s="86" t="s">
        <v>31</v>
      </c>
      <c r="B129" s="83"/>
      <c r="C129" s="83"/>
      <c r="D129" s="83"/>
      <c r="E129" s="83"/>
      <c r="F129" s="83"/>
      <c r="G129" s="83"/>
      <c r="H129" s="83"/>
      <c r="I129" s="83"/>
      <c r="J129" s="83"/>
      <c r="K129" s="83"/>
      <c r="L129" s="83"/>
      <c r="M129" s="83"/>
      <c r="N129" s="83"/>
      <c r="O129" s="83"/>
    </row>
    <row r="130" spans="1:15" ht="15.75">
      <c r="A130" s="87" t="s">
        <v>111</v>
      </c>
      <c r="B130" s="83"/>
      <c r="C130" s="83"/>
      <c r="D130" s="83"/>
      <c r="E130" s="83"/>
      <c r="F130" s="83"/>
      <c r="G130" s="83"/>
      <c r="H130" s="83"/>
      <c r="I130" s="83"/>
      <c r="J130" s="83"/>
      <c r="K130" s="83"/>
      <c r="L130" s="83"/>
      <c r="M130" s="83"/>
      <c r="N130" s="83"/>
      <c r="O130" s="83"/>
    </row>
    <row r="131" spans="1:15" ht="15.75">
      <c r="A131" s="87" t="s">
        <v>112</v>
      </c>
      <c r="B131" s="83"/>
      <c r="C131" s="83"/>
      <c r="D131" s="83"/>
      <c r="E131" s="83"/>
      <c r="F131" s="83"/>
      <c r="G131" s="83"/>
      <c r="H131" s="83"/>
      <c r="I131" s="83"/>
      <c r="J131" s="83"/>
      <c r="K131" s="83"/>
      <c r="L131" s="83"/>
      <c r="M131" s="83"/>
      <c r="N131" s="83"/>
      <c r="O131" s="83"/>
    </row>
    <row r="132" spans="1:15" ht="15.75">
      <c r="A132" s="92" t="s">
        <v>32</v>
      </c>
      <c r="B132" s="83"/>
      <c r="C132" s="83"/>
      <c r="D132" s="83"/>
      <c r="E132" s="83"/>
      <c r="F132" s="83"/>
      <c r="G132" s="83"/>
      <c r="H132" s="83"/>
      <c r="I132" s="83"/>
      <c r="J132" s="83"/>
      <c r="K132" s="83"/>
      <c r="L132" s="83"/>
      <c r="M132" s="83"/>
      <c r="N132" s="83"/>
      <c r="O132" s="83"/>
    </row>
    <row r="133" spans="1:15" ht="15.75">
      <c r="A133" s="87" t="s">
        <v>113</v>
      </c>
      <c r="B133" s="83"/>
      <c r="C133" s="83"/>
      <c r="D133" s="83"/>
      <c r="E133" s="83"/>
      <c r="F133" s="83"/>
      <c r="G133" s="83"/>
      <c r="H133" s="83"/>
      <c r="I133" s="83"/>
      <c r="J133" s="83"/>
      <c r="K133" s="83"/>
      <c r="L133" s="83"/>
      <c r="M133" s="83"/>
      <c r="N133" s="83"/>
      <c r="O133" s="83"/>
    </row>
    <row r="134" spans="1:15" ht="15.75">
      <c r="A134" s="87" t="s">
        <v>114</v>
      </c>
      <c r="B134" s="83"/>
      <c r="C134" s="83"/>
      <c r="D134" s="83"/>
      <c r="E134" s="83"/>
      <c r="F134" s="83"/>
      <c r="G134" s="83"/>
      <c r="H134" s="83"/>
      <c r="I134" s="83"/>
      <c r="J134" s="83"/>
      <c r="K134" s="83"/>
      <c r="L134" s="83"/>
      <c r="M134" s="83"/>
      <c r="N134" s="83"/>
      <c r="O134" s="83"/>
    </row>
    <row r="135" spans="1:15" ht="15.75">
      <c r="A135" s="87" t="s">
        <v>115</v>
      </c>
      <c r="B135" s="83"/>
      <c r="C135" s="83"/>
      <c r="D135" s="83"/>
      <c r="E135" s="83"/>
      <c r="F135" s="83"/>
      <c r="G135" s="83"/>
      <c r="H135" s="83"/>
      <c r="I135" s="83"/>
      <c r="J135" s="83"/>
      <c r="K135" s="83"/>
      <c r="L135" s="83"/>
      <c r="M135" s="83"/>
      <c r="N135" s="83"/>
      <c r="O135" s="83"/>
    </row>
    <row r="136" spans="1:15" ht="15.75">
      <c r="A136" s="87" t="s">
        <v>116</v>
      </c>
      <c r="B136" s="83"/>
      <c r="C136" s="83"/>
      <c r="D136" s="83"/>
      <c r="E136" s="83"/>
      <c r="F136" s="83"/>
      <c r="G136" s="83"/>
      <c r="H136" s="83"/>
      <c r="I136" s="83"/>
      <c r="J136" s="83"/>
      <c r="K136" s="83"/>
      <c r="L136" s="83"/>
      <c r="M136" s="83"/>
      <c r="N136" s="83"/>
      <c r="O136" s="83"/>
    </row>
    <row r="137" spans="1:15" ht="15.75">
      <c r="A137" s="87" t="s">
        <v>117</v>
      </c>
      <c r="B137" s="83"/>
      <c r="C137" s="83"/>
      <c r="D137" s="83"/>
      <c r="E137" s="83"/>
      <c r="F137" s="83"/>
      <c r="G137" s="83"/>
      <c r="H137" s="83"/>
      <c r="I137" s="83"/>
      <c r="J137" s="83"/>
      <c r="K137" s="83"/>
      <c r="L137" s="83"/>
      <c r="M137" s="83"/>
      <c r="N137" s="83"/>
      <c r="O137" s="83"/>
    </row>
    <row r="138" spans="1:15" ht="15.75">
      <c r="A138" s="87" t="s">
        <v>118</v>
      </c>
      <c r="B138" s="83"/>
      <c r="C138" s="83"/>
      <c r="D138" s="83"/>
      <c r="E138" s="83"/>
      <c r="F138" s="83"/>
      <c r="G138" s="83"/>
      <c r="H138" s="83"/>
      <c r="I138" s="83"/>
      <c r="J138" s="83"/>
      <c r="K138" s="83"/>
      <c r="L138" s="83"/>
      <c r="M138" s="83"/>
      <c r="N138" s="83"/>
      <c r="O138" s="83"/>
    </row>
    <row r="139" spans="1:15" ht="15.75">
      <c r="A139" s="92" t="s">
        <v>33</v>
      </c>
      <c r="B139" s="83"/>
      <c r="C139" s="83"/>
      <c r="D139" s="83"/>
      <c r="E139" s="83"/>
      <c r="F139" s="83"/>
      <c r="G139" s="83"/>
      <c r="H139" s="83"/>
      <c r="I139" s="83"/>
      <c r="J139" s="83"/>
      <c r="K139" s="83"/>
      <c r="L139" s="83"/>
      <c r="M139" s="83"/>
      <c r="N139" s="83"/>
      <c r="O139" s="83"/>
    </row>
    <row r="140" spans="1:15" ht="15.75">
      <c r="A140" s="86" t="s">
        <v>34</v>
      </c>
      <c r="B140" s="83"/>
      <c r="C140" s="83"/>
      <c r="D140" s="83"/>
      <c r="E140" s="83"/>
      <c r="F140" s="83"/>
      <c r="G140" s="83"/>
      <c r="H140" s="83"/>
      <c r="I140" s="83"/>
      <c r="J140" s="83"/>
      <c r="K140" s="83"/>
      <c r="L140" s="83"/>
      <c r="M140" s="83"/>
      <c r="N140" s="83"/>
      <c r="O140" s="83"/>
    </row>
    <row r="141" spans="1:15" ht="15.75">
      <c r="A141" s="87" t="s">
        <v>269</v>
      </c>
      <c r="B141" s="83"/>
      <c r="C141" s="83"/>
      <c r="D141" s="83"/>
      <c r="E141" s="83"/>
      <c r="F141" s="83"/>
      <c r="G141" s="83"/>
      <c r="H141" s="83"/>
      <c r="I141" s="83"/>
      <c r="J141" s="83"/>
      <c r="K141" s="83"/>
      <c r="L141" s="83"/>
      <c r="M141" s="83"/>
      <c r="N141" s="83"/>
      <c r="O141" s="83"/>
    </row>
    <row r="142" spans="1:15" ht="15.75">
      <c r="A142" s="87" t="s">
        <v>1179</v>
      </c>
      <c r="B142" s="83"/>
      <c r="C142" s="83"/>
      <c r="D142" s="83"/>
      <c r="E142" s="83"/>
      <c r="F142" s="83"/>
      <c r="G142" s="83"/>
      <c r="H142" s="83"/>
      <c r="I142" s="83"/>
      <c r="J142" s="83"/>
      <c r="K142" s="83"/>
      <c r="L142" s="83"/>
      <c r="M142" s="83"/>
      <c r="N142" s="83"/>
      <c r="O142" s="83"/>
    </row>
    <row r="143" spans="1:15" ht="15.75">
      <c r="A143" s="87" t="s">
        <v>1180</v>
      </c>
      <c r="B143" s="83"/>
      <c r="C143" s="83"/>
      <c r="D143" s="83"/>
      <c r="E143" s="83"/>
      <c r="F143" s="83"/>
      <c r="G143" s="83"/>
      <c r="H143" s="83"/>
      <c r="I143" s="83"/>
      <c r="J143" s="83"/>
      <c r="K143" s="83"/>
      <c r="L143" s="83"/>
      <c r="M143" s="83"/>
      <c r="N143" s="83"/>
      <c r="O143" s="83"/>
    </row>
    <row r="144" spans="1:15" ht="15.75">
      <c r="A144" s="87"/>
      <c r="B144" s="83"/>
      <c r="C144" s="83"/>
      <c r="D144" s="83"/>
      <c r="E144" s="83"/>
      <c r="F144" s="83"/>
      <c r="G144" s="83"/>
      <c r="H144" s="83"/>
      <c r="I144" s="83"/>
      <c r="J144" s="83"/>
      <c r="K144" s="83"/>
      <c r="L144" s="83"/>
      <c r="M144" s="83"/>
      <c r="N144" s="83"/>
      <c r="O144" s="83"/>
    </row>
    <row r="145" spans="1:15" ht="18.75">
      <c r="A145" s="91" t="s">
        <v>270</v>
      </c>
      <c r="B145" s="83"/>
      <c r="C145" s="83"/>
      <c r="D145" s="83"/>
      <c r="E145" s="83"/>
      <c r="F145" s="83"/>
      <c r="G145" s="83"/>
      <c r="H145" s="83"/>
      <c r="I145" s="83"/>
      <c r="J145" s="83"/>
      <c r="K145" s="83"/>
      <c r="L145" s="83"/>
      <c r="M145" s="83"/>
      <c r="N145" s="83"/>
      <c r="O145" s="83"/>
    </row>
    <row r="146" spans="1:15" ht="15.75">
      <c r="A146" s="92" t="s">
        <v>35</v>
      </c>
      <c r="B146" s="83"/>
      <c r="C146" s="83"/>
      <c r="D146" s="83"/>
      <c r="E146" s="83"/>
      <c r="F146" s="83"/>
      <c r="G146" s="83"/>
      <c r="H146" s="83"/>
      <c r="I146" s="83"/>
      <c r="J146" s="83"/>
      <c r="K146" s="83"/>
      <c r="L146" s="83"/>
      <c r="M146" s="83"/>
      <c r="N146" s="83"/>
      <c r="O146" s="83"/>
    </row>
    <row r="147" spans="1:15" ht="15.75">
      <c r="A147" s="86" t="s">
        <v>36</v>
      </c>
      <c r="B147" s="83"/>
      <c r="C147" s="83"/>
      <c r="D147" s="83"/>
      <c r="E147" s="83"/>
      <c r="F147" s="83"/>
      <c r="G147" s="83"/>
      <c r="H147" s="83"/>
      <c r="I147" s="83"/>
      <c r="J147" s="83"/>
      <c r="K147" s="83"/>
      <c r="L147" s="83"/>
      <c r="M147" s="83"/>
      <c r="N147" s="83"/>
      <c r="O147" s="83"/>
    </row>
    <row r="148" spans="1:15" ht="15.75">
      <c r="A148" s="86" t="s">
        <v>37</v>
      </c>
      <c r="B148" s="83"/>
      <c r="C148" s="83"/>
      <c r="D148" s="83"/>
      <c r="E148" s="83"/>
      <c r="F148" s="83"/>
      <c r="G148" s="83"/>
      <c r="H148" s="83"/>
      <c r="I148" s="83"/>
      <c r="J148" s="83"/>
      <c r="K148" s="83"/>
      <c r="L148" s="83"/>
      <c r="M148" s="83"/>
      <c r="N148" s="83"/>
      <c r="O148" s="83"/>
    </row>
    <row r="149" spans="1:15" ht="15.75">
      <c r="A149" s="92" t="s">
        <v>38</v>
      </c>
      <c r="B149" s="83"/>
      <c r="C149" s="83"/>
      <c r="D149" s="83"/>
      <c r="E149" s="83"/>
      <c r="F149" s="83"/>
      <c r="G149" s="83"/>
      <c r="H149" s="83"/>
      <c r="I149" s="83"/>
      <c r="J149" s="83"/>
      <c r="K149" s="83"/>
      <c r="L149" s="83"/>
      <c r="M149" s="83"/>
      <c r="N149" s="83"/>
      <c r="O149" s="83"/>
    </row>
    <row r="150" spans="1:15" ht="15.75">
      <c r="A150" s="86" t="s">
        <v>271</v>
      </c>
      <c r="B150" s="83"/>
      <c r="C150" s="83"/>
      <c r="D150" s="83"/>
      <c r="E150" s="83"/>
      <c r="F150" s="83"/>
      <c r="G150" s="83"/>
      <c r="H150" s="83"/>
      <c r="I150" s="83"/>
      <c r="J150" s="83"/>
      <c r="K150" s="83"/>
      <c r="L150" s="83"/>
      <c r="M150" s="83"/>
      <c r="N150" s="83"/>
      <c r="O150" s="83"/>
    </row>
    <row r="151" spans="1:15" ht="15.75">
      <c r="A151" s="92" t="s">
        <v>39</v>
      </c>
      <c r="B151" s="83"/>
      <c r="C151" s="83"/>
      <c r="D151" s="83"/>
      <c r="E151" s="83"/>
      <c r="F151" s="83"/>
      <c r="G151" s="83"/>
      <c r="H151" s="83"/>
      <c r="I151" s="83"/>
      <c r="J151" s="83"/>
      <c r="K151" s="83"/>
      <c r="L151" s="83"/>
      <c r="M151" s="83"/>
      <c r="N151" s="83"/>
      <c r="O151" s="83"/>
    </row>
    <row r="152" spans="1:15" ht="15.75">
      <c r="A152" s="86" t="s">
        <v>40</v>
      </c>
      <c r="B152" s="83"/>
      <c r="C152" s="83"/>
      <c r="D152" s="83"/>
      <c r="E152" s="83"/>
      <c r="F152" s="83"/>
      <c r="G152" s="83"/>
      <c r="H152" s="83"/>
      <c r="I152" s="83"/>
      <c r="J152" s="83"/>
      <c r="K152" s="83"/>
      <c r="L152" s="83"/>
      <c r="M152" s="83"/>
      <c r="N152" s="83"/>
      <c r="O152" s="83"/>
    </row>
    <row r="153" spans="1:15" ht="15.75">
      <c r="A153" s="86"/>
      <c r="B153" s="83"/>
      <c r="C153" s="83"/>
      <c r="D153" s="83"/>
      <c r="E153" s="83"/>
      <c r="F153" s="83"/>
      <c r="G153" s="83"/>
      <c r="H153" s="83"/>
      <c r="I153" s="83"/>
      <c r="J153" s="83"/>
      <c r="K153" s="83"/>
      <c r="L153" s="83"/>
      <c r="M153" s="83"/>
      <c r="N153" s="83"/>
      <c r="O153" s="83"/>
    </row>
    <row r="154" spans="1:15" ht="18.75">
      <c r="A154" s="91" t="s">
        <v>272</v>
      </c>
      <c r="B154" s="83"/>
      <c r="C154" s="83"/>
      <c r="D154" s="83"/>
      <c r="E154" s="83"/>
      <c r="F154" s="83"/>
      <c r="G154" s="83"/>
      <c r="H154" s="83"/>
      <c r="I154" s="83"/>
      <c r="J154" s="83"/>
      <c r="K154" s="83"/>
      <c r="L154" s="83"/>
      <c r="M154" s="83"/>
      <c r="N154" s="83"/>
      <c r="O154" s="83"/>
    </row>
    <row r="155" spans="1:15" ht="15.75">
      <c r="A155" s="92" t="s">
        <v>273</v>
      </c>
      <c r="B155" s="83"/>
      <c r="C155" s="83"/>
      <c r="D155" s="83"/>
      <c r="E155" s="83"/>
      <c r="F155" s="83"/>
      <c r="G155" s="83"/>
      <c r="H155" s="83"/>
      <c r="I155" s="83"/>
      <c r="J155" s="83"/>
      <c r="K155" s="83"/>
      <c r="L155" s="83"/>
      <c r="M155" s="83"/>
      <c r="N155" s="83"/>
      <c r="O155" s="83"/>
    </row>
    <row r="156" spans="1:15" ht="15.75">
      <c r="A156" s="86" t="s">
        <v>41</v>
      </c>
      <c r="B156" s="83"/>
      <c r="C156" s="83"/>
      <c r="D156" s="83"/>
      <c r="E156" s="83"/>
      <c r="F156" s="83"/>
      <c r="G156" s="83"/>
      <c r="H156" s="83"/>
      <c r="I156" s="83"/>
      <c r="J156" s="83"/>
      <c r="K156" s="83"/>
      <c r="L156" s="83"/>
      <c r="M156" s="83"/>
      <c r="N156" s="83"/>
      <c r="O156" s="83"/>
    </row>
    <row r="157" spans="1:15" ht="15.75">
      <c r="A157" s="92" t="s">
        <v>42</v>
      </c>
      <c r="B157" s="83"/>
      <c r="C157" s="83"/>
      <c r="D157" s="83"/>
      <c r="E157" s="83"/>
      <c r="F157" s="83"/>
      <c r="G157" s="83"/>
      <c r="H157" s="83"/>
      <c r="I157" s="83"/>
      <c r="J157" s="83"/>
      <c r="K157" s="83"/>
      <c r="L157" s="83"/>
      <c r="M157" s="83"/>
      <c r="N157" s="83"/>
      <c r="O157" s="83"/>
    </row>
    <row r="158" spans="1:15" ht="15.75">
      <c r="A158" s="86" t="s">
        <v>1181</v>
      </c>
      <c r="B158" s="83"/>
      <c r="C158" s="83"/>
      <c r="D158" s="83"/>
      <c r="E158" s="83"/>
      <c r="F158" s="83"/>
      <c r="G158" s="83"/>
      <c r="H158" s="83"/>
      <c r="I158" s="83"/>
      <c r="J158" s="83"/>
      <c r="K158" s="83"/>
      <c r="L158" s="83"/>
      <c r="M158" s="83"/>
      <c r="N158" s="83"/>
      <c r="O158" s="83"/>
    </row>
    <row r="159" spans="1:15" ht="15.75">
      <c r="A159" s="86" t="s">
        <v>1182</v>
      </c>
      <c r="B159" s="83"/>
      <c r="C159" s="83"/>
      <c r="D159" s="83"/>
      <c r="E159" s="83"/>
      <c r="F159" s="83"/>
      <c r="G159" s="83"/>
      <c r="H159" s="83"/>
      <c r="I159" s="83"/>
      <c r="J159" s="83"/>
      <c r="K159" s="83"/>
      <c r="L159" s="83"/>
      <c r="M159" s="83"/>
      <c r="N159" s="83"/>
      <c r="O159" s="83"/>
    </row>
    <row r="160" spans="1:15" ht="15.75">
      <c r="A160" s="92" t="s">
        <v>43</v>
      </c>
      <c r="B160" s="83"/>
      <c r="C160" s="83"/>
      <c r="D160" s="83"/>
      <c r="E160" s="83"/>
      <c r="F160" s="83"/>
      <c r="G160" s="83"/>
      <c r="H160" s="83"/>
      <c r="I160" s="83"/>
      <c r="J160" s="83"/>
      <c r="K160" s="83"/>
      <c r="L160" s="83"/>
      <c r="M160" s="83"/>
      <c r="N160" s="83"/>
      <c r="O160" s="83"/>
    </row>
    <row r="161" spans="1:15" ht="15.75">
      <c r="A161" s="86" t="s">
        <v>1183</v>
      </c>
      <c r="B161" s="83"/>
      <c r="C161" s="83"/>
      <c r="D161" s="83"/>
      <c r="E161" s="83"/>
      <c r="F161" s="83"/>
      <c r="G161" s="83"/>
      <c r="H161" s="83"/>
      <c r="I161" s="83"/>
      <c r="J161" s="83"/>
      <c r="K161" s="83"/>
      <c r="L161" s="83"/>
      <c r="M161" s="83"/>
      <c r="N161" s="83"/>
      <c r="O161" s="83"/>
    </row>
    <row r="162" spans="1:15" ht="15.75">
      <c r="A162" s="86" t="s">
        <v>1184</v>
      </c>
      <c r="B162" s="83"/>
      <c r="C162" s="83"/>
      <c r="D162" s="83"/>
      <c r="E162" s="83"/>
      <c r="F162" s="83"/>
      <c r="G162" s="83"/>
      <c r="H162" s="83"/>
      <c r="I162" s="83"/>
      <c r="J162" s="83"/>
      <c r="K162" s="83"/>
      <c r="L162" s="83"/>
      <c r="M162" s="83"/>
      <c r="N162" s="83"/>
      <c r="O162" s="83"/>
    </row>
    <row r="163" spans="1:15" ht="15.75">
      <c r="A163" s="86"/>
      <c r="B163" s="83"/>
      <c r="C163" s="83"/>
      <c r="D163" s="83"/>
      <c r="E163" s="83"/>
      <c r="F163" s="83"/>
      <c r="G163" s="83"/>
      <c r="H163" s="83"/>
      <c r="I163" s="83"/>
      <c r="J163" s="83"/>
      <c r="K163" s="83"/>
      <c r="L163" s="83"/>
      <c r="M163" s="83"/>
      <c r="N163" s="83"/>
      <c r="O163" s="83"/>
    </row>
    <row r="164" spans="1:15" ht="18.75">
      <c r="A164" s="91" t="s">
        <v>274</v>
      </c>
      <c r="B164" s="83"/>
      <c r="C164" s="83"/>
      <c r="D164" s="83"/>
      <c r="E164" s="83"/>
      <c r="F164" s="83"/>
      <c r="G164" s="83"/>
      <c r="H164" s="83"/>
      <c r="I164" s="83"/>
      <c r="J164" s="83"/>
      <c r="K164" s="83"/>
      <c r="L164" s="83"/>
      <c r="M164" s="83"/>
      <c r="N164" s="83"/>
      <c r="O164" s="83"/>
    </row>
    <row r="165" spans="1:15" ht="15.75">
      <c r="A165" s="86" t="s">
        <v>1185</v>
      </c>
      <c r="B165" s="83"/>
      <c r="C165" s="83"/>
      <c r="D165" s="83"/>
      <c r="E165" s="83"/>
      <c r="F165" s="83"/>
      <c r="G165" s="83"/>
      <c r="H165" s="83"/>
      <c r="I165" s="83"/>
      <c r="J165" s="83"/>
      <c r="K165" s="83"/>
      <c r="L165" s="83"/>
      <c r="M165" s="83"/>
      <c r="N165" s="83"/>
      <c r="O165" s="83"/>
    </row>
    <row r="166" spans="1:15" ht="15.75">
      <c r="A166" s="86" t="s">
        <v>1186</v>
      </c>
      <c r="B166" s="83"/>
      <c r="C166" s="83"/>
      <c r="D166" s="83"/>
      <c r="E166" s="83"/>
      <c r="F166" s="83"/>
      <c r="G166" s="83"/>
      <c r="H166" s="83"/>
      <c r="I166" s="83"/>
      <c r="J166" s="83"/>
      <c r="K166" s="83"/>
      <c r="L166" s="83"/>
      <c r="M166" s="83"/>
      <c r="N166" s="83"/>
      <c r="O166" s="83"/>
    </row>
    <row r="167" spans="1:15" ht="15.75">
      <c r="A167" s="92" t="s">
        <v>44</v>
      </c>
      <c r="B167" s="83"/>
      <c r="C167" s="83"/>
      <c r="D167" s="83"/>
      <c r="E167" s="83"/>
      <c r="F167" s="83"/>
      <c r="G167" s="83"/>
      <c r="H167" s="83"/>
      <c r="I167" s="83"/>
      <c r="J167" s="83"/>
      <c r="K167" s="83"/>
      <c r="L167" s="83"/>
      <c r="M167" s="83"/>
      <c r="N167" s="83"/>
      <c r="O167" s="83"/>
    </row>
    <row r="168" spans="1:15" ht="15.75">
      <c r="A168" s="86" t="s">
        <v>45</v>
      </c>
      <c r="B168" s="83"/>
      <c r="C168" s="83"/>
      <c r="D168" s="83"/>
      <c r="E168" s="83"/>
      <c r="F168" s="83"/>
      <c r="G168" s="83"/>
      <c r="H168" s="83"/>
      <c r="I168" s="83"/>
      <c r="J168" s="83"/>
      <c r="K168" s="83"/>
      <c r="L168" s="83"/>
      <c r="M168" s="83"/>
      <c r="N168" s="83"/>
      <c r="O168" s="83"/>
    </row>
    <row r="169" spans="1:15" ht="15.75">
      <c r="A169" s="86" t="s">
        <v>1201</v>
      </c>
      <c r="B169" s="83"/>
      <c r="C169" s="83"/>
      <c r="D169" s="83"/>
      <c r="E169" s="83"/>
      <c r="F169" s="83"/>
      <c r="G169" s="83"/>
      <c r="H169" s="83"/>
      <c r="I169" s="83"/>
      <c r="J169" s="83"/>
      <c r="K169" s="83"/>
      <c r="L169" s="83"/>
      <c r="M169" s="83"/>
      <c r="N169" s="83"/>
      <c r="O169" s="83"/>
    </row>
    <row r="170" spans="1:15" ht="15.75">
      <c r="A170" s="92" t="s">
        <v>46</v>
      </c>
      <c r="B170" s="83"/>
      <c r="C170" s="83"/>
      <c r="D170" s="83"/>
      <c r="E170" s="83"/>
      <c r="F170" s="83"/>
      <c r="G170" s="83"/>
      <c r="H170" s="83"/>
      <c r="I170" s="83"/>
      <c r="J170" s="83"/>
      <c r="K170" s="83"/>
      <c r="L170" s="83"/>
      <c r="M170" s="83"/>
      <c r="N170" s="83"/>
      <c r="O170" s="83"/>
    </row>
    <row r="171" spans="1:15" ht="15.75">
      <c r="A171" s="86" t="s">
        <v>47</v>
      </c>
      <c r="B171" s="83"/>
      <c r="C171" s="83"/>
      <c r="D171" s="83"/>
      <c r="E171" s="83"/>
      <c r="F171" s="83"/>
      <c r="G171" s="83"/>
      <c r="H171" s="83"/>
      <c r="I171" s="83"/>
      <c r="J171" s="83"/>
      <c r="K171" s="83"/>
      <c r="L171" s="83"/>
      <c r="M171" s="83"/>
      <c r="N171" s="83"/>
      <c r="O171" s="83"/>
    </row>
    <row r="172" spans="1:15" ht="15.75">
      <c r="A172" s="87" t="s">
        <v>275</v>
      </c>
      <c r="B172" s="83"/>
      <c r="C172" s="83"/>
      <c r="D172" s="83"/>
      <c r="E172" s="83"/>
      <c r="F172" s="83"/>
      <c r="G172" s="83"/>
      <c r="H172" s="83"/>
      <c r="I172" s="83"/>
      <c r="J172" s="83"/>
      <c r="K172" s="83"/>
      <c r="L172" s="83"/>
      <c r="M172" s="83"/>
      <c r="N172" s="83"/>
      <c r="O172" s="83"/>
    </row>
    <row r="173" spans="1:15" ht="15.75">
      <c r="A173" s="87" t="s">
        <v>1187</v>
      </c>
      <c r="B173" s="83"/>
      <c r="C173" s="83"/>
      <c r="D173" s="83"/>
      <c r="E173" s="83"/>
      <c r="F173" s="83"/>
      <c r="G173" s="83"/>
      <c r="H173" s="83"/>
      <c r="I173" s="83"/>
      <c r="J173" s="83"/>
      <c r="K173" s="83"/>
      <c r="L173" s="83"/>
      <c r="M173" s="83"/>
      <c r="N173" s="83"/>
      <c r="O173" s="83"/>
    </row>
    <row r="174" spans="1:15" ht="15.75">
      <c r="A174" s="87"/>
      <c r="B174" s="141" t="s">
        <v>1188</v>
      </c>
      <c r="C174" s="83"/>
      <c r="D174" s="83"/>
      <c r="E174" s="83"/>
      <c r="F174" s="83"/>
      <c r="G174" s="83"/>
      <c r="H174" s="83"/>
      <c r="I174" s="83"/>
      <c r="J174" s="83"/>
      <c r="K174" s="83"/>
      <c r="L174" s="83"/>
      <c r="M174" s="83"/>
      <c r="N174" s="83"/>
      <c r="O174" s="83"/>
    </row>
    <row r="175" spans="1:15" ht="15.75">
      <c r="A175" s="87" t="s">
        <v>276</v>
      </c>
      <c r="B175" s="83"/>
      <c r="C175" s="83"/>
      <c r="D175" s="83"/>
      <c r="E175" s="83"/>
      <c r="F175" s="83"/>
      <c r="G175" s="83"/>
      <c r="H175" s="83"/>
      <c r="I175" s="83"/>
      <c r="J175" s="83"/>
      <c r="K175" s="83"/>
      <c r="L175" s="83"/>
      <c r="M175" s="83"/>
      <c r="N175" s="83"/>
      <c r="O175" s="83"/>
    </row>
    <row r="176" spans="1:15" ht="15.75">
      <c r="A176" s="95"/>
      <c r="B176" s="83"/>
      <c r="C176" s="83"/>
      <c r="D176" s="83"/>
      <c r="E176" s="83"/>
      <c r="F176" s="83"/>
      <c r="G176" s="83"/>
      <c r="H176" s="83"/>
      <c r="I176" s="83"/>
      <c r="J176" s="83"/>
      <c r="K176" s="83"/>
      <c r="L176" s="83"/>
      <c r="M176" s="83"/>
      <c r="N176" s="83"/>
      <c r="O176" s="83"/>
    </row>
    <row r="177" spans="1:1" ht="15.75">
      <c r="A177" s="92" t="s">
        <v>277</v>
      </c>
    </row>
    <row r="178" spans="1:1" ht="15.75">
      <c r="A178" s="86" t="s">
        <v>278</v>
      </c>
    </row>
    <row r="179" spans="1:1" ht="15.75">
      <c r="A179" s="87" t="s">
        <v>1189</v>
      </c>
    </row>
    <row r="180" spans="1:1" ht="15.75">
      <c r="A180" s="87" t="s">
        <v>1190</v>
      </c>
    </row>
    <row r="181" spans="1:1" ht="15.75">
      <c r="A181" s="87" t="s">
        <v>279</v>
      </c>
    </row>
    <row r="182" spans="1:1" ht="15.75">
      <c r="A182" s="86"/>
    </row>
    <row r="183" spans="1:1" ht="18.75">
      <c r="A183" s="91" t="s">
        <v>280</v>
      </c>
    </row>
    <row r="184" spans="1:1" ht="15.75">
      <c r="A184" s="86" t="s">
        <v>583</v>
      </c>
    </row>
    <row r="185" spans="1:1" ht="15.75">
      <c r="A185" s="86" t="s">
        <v>584</v>
      </c>
    </row>
    <row r="186" spans="1:1" ht="15.75">
      <c r="A186" s="86" t="s">
        <v>1202</v>
      </c>
    </row>
    <row r="187" spans="1:1" ht="15.75">
      <c r="A187" s="87" t="s">
        <v>281</v>
      </c>
    </row>
    <row r="188" spans="1:1" ht="15.75">
      <c r="A188" s="87" t="s">
        <v>282</v>
      </c>
    </row>
    <row r="189" spans="1:1" ht="15.75">
      <c r="A189" s="87" t="s">
        <v>283</v>
      </c>
    </row>
    <row r="190" spans="1:1" ht="15.75">
      <c r="A190" s="87" t="s">
        <v>284</v>
      </c>
    </row>
    <row r="191" spans="1:1" ht="15.75">
      <c r="A191" s="87" t="s">
        <v>285</v>
      </c>
    </row>
    <row r="192" spans="1:1" ht="15.75">
      <c r="A192" s="87" t="s">
        <v>286</v>
      </c>
    </row>
    <row r="193" spans="1:2" ht="15.75">
      <c r="A193" s="86"/>
    </row>
    <row r="194" spans="1:2" ht="18.75">
      <c r="A194" s="91" t="s">
        <v>287</v>
      </c>
    </row>
    <row r="195" spans="1:2" ht="15.75">
      <c r="A195" s="86" t="s">
        <v>955</v>
      </c>
    </row>
    <row r="196" spans="1:2" ht="15.75">
      <c r="A196" s="86" t="s">
        <v>956</v>
      </c>
    </row>
    <row r="197" spans="1:2" ht="15.75">
      <c r="A197" s="86" t="s">
        <v>48</v>
      </c>
    </row>
    <row r="198" spans="1:2" ht="15.75">
      <c r="A198" s="92" t="s">
        <v>288</v>
      </c>
    </row>
    <row r="199" spans="1:2" ht="15.75">
      <c r="A199" s="87"/>
      <c r="B199" s="141" t="s">
        <v>957</v>
      </c>
    </row>
    <row r="200" spans="1:2" ht="15.75">
      <c r="A200" s="87" t="s">
        <v>289</v>
      </c>
    </row>
    <row r="201" spans="1:2" ht="15.75">
      <c r="A201" s="87" t="s">
        <v>1191</v>
      </c>
    </row>
    <row r="202" spans="1:2" ht="15.75">
      <c r="A202" s="87" t="s">
        <v>1192</v>
      </c>
    </row>
    <row r="203" spans="1:2" ht="15.75">
      <c r="A203" s="87" t="s">
        <v>290</v>
      </c>
    </row>
    <row r="204" spans="1:2" ht="15.75">
      <c r="A204" s="87" t="s">
        <v>958</v>
      </c>
    </row>
    <row r="205" spans="1:2" ht="15.75">
      <c r="A205" s="87"/>
      <c r="B205" s="141" t="s">
        <v>1193</v>
      </c>
    </row>
    <row r="206" spans="1:2" ht="15.75">
      <c r="A206" s="87"/>
      <c r="B206" s="141" t="s">
        <v>1194</v>
      </c>
    </row>
    <row r="207" spans="1:2" ht="15.75">
      <c r="A207" s="87" t="s">
        <v>291</v>
      </c>
    </row>
    <row r="208" spans="1:2" ht="15.75">
      <c r="A208" s="92" t="s">
        <v>49</v>
      </c>
    </row>
    <row r="209" spans="1:1" ht="15.75">
      <c r="A209" s="86" t="s">
        <v>50</v>
      </c>
    </row>
    <row r="210" spans="1:1" ht="15.75">
      <c r="A210" s="87" t="s">
        <v>292</v>
      </c>
    </row>
    <row r="211" spans="1:1" ht="15.75">
      <c r="A211" s="87" t="s">
        <v>293</v>
      </c>
    </row>
    <row r="212" spans="1:1" ht="15.75">
      <c r="A212" s="87" t="s">
        <v>294</v>
      </c>
    </row>
    <row r="213" spans="1:1" ht="15.75">
      <c r="A213" s="92" t="s">
        <v>569</v>
      </c>
    </row>
    <row r="214" spans="1:1" ht="15.75">
      <c r="A214" s="86" t="s">
        <v>570</v>
      </c>
    </row>
    <row r="215" spans="1:1" ht="15.75">
      <c r="A215" s="87" t="s">
        <v>571</v>
      </c>
    </row>
    <row r="216" spans="1:1" ht="15.75">
      <c r="A216" s="87" t="s">
        <v>572</v>
      </c>
    </row>
    <row r="217" spans="1:1" ht="15.75">
      <c r="A217" s="87" t="s">
        <v>573</v>
      </c>
    </row>
    <row r="218" spans="1:1" ht="15.75">
      <c r="A218" s="87"/>
    </row>
    <row r="219" spans="1:1" ht="18.75">
      <c r="A219" s="91" t="s">
        <v>566</v>
      </c>
    </row>
    <row r="220" spans="1:1" ht="15.75">
      <c r="A220" s="86" t="s">
        <v>295</v>
      </c>
    </row>
    <row r="221" spans="1:1" ht="15.75">
      <c r="A221" s="92" t="s">
        <v>296</v>
      </c>
    </row>
    <row r="222" spans="1:1" ht="15.75">
      <c r="A222" s="86" t="s">
        <v>297</v>
      </c>
    </row>
    <row r="223" spans="1:1" ht="15.75">
      <c r="A223" s="86" t="s">
        <v>1203</v>
      </c>
    </row>
    <row r="224" spans="1:1" ht="15.75">
      <c r="A224" s="86" t="s">
        <v>959</v>
      </c>
    </row>
    <row r="225" spans="1:2" ht="15.75">
      <c r="A225" s="92" t="s">
        <v>298</v>
      </c>
    </row>
    <row r="226" spans="1:2" ht="15.75">
      <c r="A226" s="86" t="s">
        <v>299</v>
      </c>
    </row>
    <row r="227" spans="1:2" ht="15.75">
      <c r="A227" s="86" t="s">
        <v>300</v>
      </c>
    </row>
    <row r="228" spans="1:2" ht="15.75">
      <c r="A228" s="92" t="s">
        <v>301</v>
      </c>
    </row>
    <row r="229" spans="1:2" ht="15.75">
      <c r="A229" s="86" t="s">
        <v>960</v>
      </c>
    </row>
    <row r="230" spans="1:2" ht="15.75">
      <c r="A230" s="86" t="s">
        <v>1204</v>
      </c>
    </row>
    <row r="231" spans="1:2" ht="15.75">
      <c r="A231" s="86" t="s">
        <v>302</v>
      </c>
    </row>
    <row r="232" spans="1:2" ht="15.75">
      <c r="A232" s="87" t="s">
        <v>303</v>
      </c>
    </row>
    <row r="233" spans="1:2" ht="15.75">
      <c r="A233" s="87" t="s">
        <v>304</v>
      </c>
    </row>
    <row r="234" spans="1:2" ht="15.75">
      <c r="A234" s="87" t="s">
        <v>961</v>
      </c>
    </row>
    <row r="235" spans="1:2" ht="15.75">
      <c r="A235" s="87"/>
      <c r="B235" s="141" t="s">
        <v>962</v>
      </c>
    </row>
    <row r="236" spans="1:2" ht="15.75">
      <c r="A236" s="92" t="s">
        <v>51</v>
      </c>
    </row>
    <row r="237" spans="1:2" ht="15.75">
      <c r="A237" s="86" t="s">
        <v>963</v>
      </c>
    </row>
    <row r="238" spans="1:2" ht="15.75">
      <c r="A238" s="86" t="s">
        <v>964</v>
      </c>
    </row>
    <row r="239" spans="1:2" ht="15.75">
      <c r="A239" s="86" t="s">
        <v>965</v>
      </c>
    </row>
    <row r="240" spans="1:2" ht="15.75">
      <c r="A240" s="86" t="s">
        <v>966</v>
      </c>
    </row>
    <row r="241" spans="1:5" ht="15.75">
      <c r="A241" s="92" t="s">
        <v>52</v>
      </c>
    </row>
    <row r="242" spans="1:5" ht="15.75">
      <c r="A242" s="86" t="s">
        <v>350</v>
      </c>
    </row>
    <row r="243" spans="1:5" ht="15.75">
      <c r="A243" s="86" t="s">
        <v>351</v>
      </c>
    </row>
    <row r="244" spans="1:5" ht="15.75">
      <c r="A244" s="86" t="s">
        <v>305</v>
      </c>
    </row>
    <row r="245" spans="1:5" ht="21">
      <c r="E245" s="97" t="s">
        <v>306</v>
      </c>
    </row>
    <row r="246" spans="1:5" ht="15.75">
      <c r="A246" s="86" t="s">
        <v>314</v>
      </c>
    </row>
    <row r="247" spans="1:5" ht="15.75">
      <c r="A247" s="92" t="s">
        <v>53</v>
      </c>
    </row>
    <row r="248" spans="1:5" ht="15.75">
      <c r="A248" s="86" t="s">
        <v>1195</v>
      </c>
    </row>
    <row r="249" spans="1:5" ht="15.75">
      <c r="A249" s="86" t="s">
        <v>1196</v>
      </c>
    </row>
    <row r="250" spans="1:5" ht="15.75">
      <c r="A250" s="86" t="s">
        <v>1197</v>
      </c>
    </row>
    <row r="251" spans="1:5" ht="15.75">
      <c r="A251" s="92" t="s">
        <v>54</v>
      </c>
    </row>
    <row r="252" spans="1:5" ht="15.75">
      <c r="A252" s="86" t="s">
        <v>352</v>
      </c>
    </row>
    <row r="253" spans="1:5" ht="15.75">
      <c r="A253" s="86" t="s">
        <v>353</v>
      </c>
    </row>
    <row r="254" spans="1:5" ht="15.75">
      <c r="E254" s="98" t="s">
        <v>55</v>
      </c>
    </row>
    <row r="255" spans="1:5" ht="15.75">
      <c r="A255" s="86" t="s">
        <v>1205</v>
      </c>
    </row>
    <row r="256" spans="1:5" ht="15.75">
      <c r="A256" s="116" t="s">
        <v>1242</v>
      </c>
    </row>
    <row r="257" spans="1:4" ht="15.75">
      <c r="A257" s="86" t="s">
        <v>56</v>
      </c>
    </row>
    <row r="258" spans="1:4" ht="18">
      <c r="D258" s="98" t="s">
        <v>315</v>
      </c>
    </row>
    <row r="259" spans="1:4" s="100" customFormat="1" ht="15.75">
      <c r="A259" s="86" t="s">
        <v>316</v>
      </c>
    </row>
    <row r="260" spans="1:4" ht="15.75">
      <c r="A260" s="86" t="s">
        <v>1198</v>
      </c>
    </row>
    <row r="261" spans="1:4" ht="15.75">
      <c r="A261" s="86" t="s">
        <v>1199</v>
      </c>
    </row>
    <row r="262" spans="1:4" ht="15.75">
      <c r="A262" s="86"/>
    </row>
    <row r="263" spans="1:4" ht="18.75">
      <c r="A263" s="91" t="s">
        <v>567</v>
      </c>
    </row>
    <row r="264" spans="1:4" ht="15.75">
      <c r="A264" s="86" t="s">
        <v>574</v>
      </c>
    </row>
    <row r="265" spans="1:4" ht="18.75">
      <c r="A265" s="91"/>
    </row>
    <row r="266" spans="1:4" ht="18.75">
      <c r="A266" s="91" t="s">
        <v>568</v>
      </c>
    </row>
    <row r="267" spans="1:4" ht="18.75">
      <c r="A267" s="91"/>
    </row>
    <row r="268" spans="1:4" ht="15.75">
      <c r="A268" s="99"/>
    </row>
    <row r="269" spans="1:4" ht="18.75">
      <c r="A269" s="95" t="s">
        <v>319</v>
      </c>
    </row>
    <row r="270" spans="1:4" ht="15.75">
      <c r="A270" s="86" t="s">
        <v>1313</v>
      </c>
    </row>
    <row r="271" spans="1:4" ht="15.75">
      <c r="A271" s="86" t="s">
        <v>317</v>
      </c>
    </row>
    <row r="272" spans="1:4" ht="15.75">
      <c r="A272" s="90" t="s">
        <v>318</v>
      </c>
    </row>
    <row r="273" spans="1:1" ht="15.75">
      <c r="A273" s="90" t="s">
        <v>575</v>
      </c>
    </row>
  </sheetData>
  <phoneticPr fontId="68" type="noConversion"/>
  <pageMargins left="0.39370078740157483" right="0.39370078740157483" top="0.39370078740157483" bottom="0.39370078740157483" header="0.39370078740157483" footer="0.39370078740157483"/>
  <pageSetup paperSize="9" scale="56" fitToHeight="10" orientation="landscape"/>
  <rowBreaks count="4" manualBreakCount="4">
    <brk id="62" max="17" man="1"/>
    <brk id="123" max="17" man="1"/>
    <brk id="182" max="17" man="1"/>
    <brk id="218" max="17" man="1"/>
  </rowBreaks>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BJ163"/>
  <sheetViews>
    <sheetView showGridLines="0" workbookViewId="0">
      <selection sqref="A1:V55"/>
    </sheetView>
  </sheetViews>
  <sheetFormatPr defaultColWidth="9.140625" defaultRowHeight="12.75"/>
  <cols>
    <col min="1" max="1" width="18.28515625" style="438" customWidth="1"/>
    <col min="2" max="2" width="11" style="437" customWidth="1"/>
    <col min="3" max="3" width="7.28515625" style="438" customWidth="1"/>
    <col min="4" max="4" width="7.42578125" style="438" customWidth="1"/>
    <col min="5" max="5" width="8.85546875" style="438" customWidth="1"/>
    <col min="6" max="6" width="7.7109375" style="438" customWidth="1"/>
    <col min="7" max="19" width="4.7109375" style="438" customWidth="1"/>
    <col min="20" max="20" width="5.28515625" style="438" customWidth="1"/>
    <col min="21" max="21" width="4.7109375" style="438" customWidth="1"/>
    <col min="22" max="27" width="8.85546875" style="438" customWidth="1"/>
    <col min="28" max="28" width="29.42578125" style="438" customWidth="1"/>
    <col min="29" max="29" width="8.85546875" style="438" customWidth="1"/>
    <col min="30" max="30" width="13.85546875" style="438" customWidth="1"/>
    <col min="31" max="62" width="8.85546875" style="438" customWidth="1"/>
    <col min="63" max="16384" width="9.140625" style="439"/>
  </cols>
  <sheetData>
    <row r="1" spans="1:21" ht="18.75">
      <c r="A1" s="1324" t="s">
        <v>1364</v>
      </c>
      <c r="B1" s="1325"/>
      <c r="C1" s="1325"/>
    </row>
    <row r="3" spans="1:21">
      <c r="A3" s="183" t="s">
        <v>1059</v>
      </c>
    </row>
    <row r="4" spans="1:21">
      <c r="A4" s="948" t="s">
        <v>1361</v>
      </c>
    </row>
    <row r="5" spans="1:21">
      <c r="A5" s="948"/>
    </row>
    <row r="6" spans="1:21">
      <c r="A6" s="440" t="s">
        <v>1060</v>
      </c>
      <c r="B6" s="441" t="s">
        <v>1061</v>
      </c>
    </row>
    <row r="7" spans="1:21">
      <c r="A7" s="440" t="s">
        <v>1062</v>
      </c>
    </row>
    <row r="8" spans="1:21">
      <c r="A8" s="440"/>
    </row>
    <row r="9" spans="1:21" s="443" customFormat="1" ht="12">
      <c r="A9" s="1022" t="s">
        <v>1362</v>
      </c>
      <c r="B9" s="442"/>
      <c r="C9" s="442"/>
      <c r="D9" s="442"/>
      <c r="E9" s="442"/>
      <c r="F9" s="442"/>
      <c r="G9" s="442"/>
      <c r="H9" s="442"/>
      <c r="I9" s="442"/>
      <c r="J9" s="442"/>
      <c r="K9" s="442"/>
      <c r="L9" s="442"/>
      <c r="M9" s="442"/>
      <c r="N9" s="442"/>
      <c r="O9" s="442"/>
      <c r="P9" s="442"/>
      <c r="Q9" s="442"/>
      <c r="R9" s="442"/>
      <c r="S9" s="442"/>
      <c r="T9" s="442"/>
      <c r="U9" s="442"/>
    </row>
    <row r="10" spans="1:21" s="446" customFormat="1" ht="14.25" customHeight="1">
      <c r="A10" s="444" t="s">
        <v>1063</v>
      </c>
      <c r="B10" s="445"/>
      <c r="C10" s="445"/>
      <c r="D10" s="445"/>
      <c r="E10" s="445"/>
      <c r="F10" s="445"/>
      <c r="G10" s="445"/>
      <c r="H10" s="445"/>
      <c r="I10" s="445"/>
      <c r="J10" s="445"/>
      <c r="K10" s="445"/>
      <c r="L10" s="445"/>
      <c r="M10" s="445"/>
      <c r="N10" s="445"/>
      <c r="O10" s="445"/>
      <c r="P10" s="445"/>
      <c r="Q10" s="445"/>
      <c r="R10" s="445"/>
      <c r="S10" s="445"/>
      <c r="T10" s="445"/>
      <c r="U10" s="445"/>
    </row>
    <row r="11" spans="1:21" s="451" customFormat="1" ht="12" customHeight="1">
      <c r="A11" s="447"/>
      <c r="B11" s="448" t="s">
        <v>1064</v>
      </c>
      <c r="C11" s="1377">
        <v>1998</v>
      </c>
      <c r="D11" s="1377">
        <v>1999</v>
      </c>
      <c r="E11" s="1377">
        <v>2000</v>
      </c>
      <c r="F11" s="1377">
        <v>2001</v>
      </c>
      <c r="G11" s="1377">
        <v>2002</v>
      </c>
      <c r="H11" s="1377">
        <v>2003</v>
      </c>
      <c r="I11" s="1377">
        <v>2004</v>
      </c>
      <c r="J11" s="1377">
        <v>2005</v>
      </c>
      <c r="K11" s="1377">
        <v>2006</v>
      </c>
      <c r="L11" s="1377">
        <v>2007</v>
      </c>
      <c r="M11" s="1377">
        <v>2008</v>
      </c>
      <c r="N11" s="1377">
        <v>2009</v>
      </c>
      <c r="O11" s="1377">
        <v>2010</v>
      </c>
      <c r="P11" s="1377">
        <v>2011</v>
      </c>
      <c r="Q11" s="1377">
        <v>2012</v>
      </c>
      <c r="R11" s="1377">
        <v>2013</v>
      </c>
      <c r="S11" s="449" t="s">
        <v>1065</v>
      </c>
      <c r="T11" s="449"/>
      <c r="U11" s="450"/>
    </row>
    <row r="12" spans="1:21" s="451" customFormat="1" ht="12" customHeight="1">
      <c r="A12" s="447"/>
      <c r="B12" s="452" t="s">
        <v>1066</v>
      </c>
      <c r="C12" s="1377"/>
      <c r="D12" s="1377"/>
      <c r="E12" s="1377"/>
      <c r="F12" s="1377"/>
      <c r="G12" s="1377"/>
      <c r="H12" s="1377"/>
      <c r="I12" s="1377"/>
      <c r="J12" s="1377"/>
      <c r="K12" s="1377"/>
      <c r="L12" s="1377"/>
      <c r="M12" s="1377"/>
      <c r="N12" s="1377"/>
      <c r="O12" s="1377"/>
      <c r="P12" s="1377"/>
      <c r="Q12" s="1377"/>
      <c r="R12" s="1377"/>
      <c r="S12" s="453">
        <v>2011</v>
      </c>
      <c r="T12" s="453">
        <v>2012</v>
      </c>
      <c r="U12" s="454">
        <v>2013</v>
      </c>
    </row>
    <row r="13" spans="1:21" s="459" customFormat="1" ht="15" customHeight="1">
      <c r="A13" s="455" t="s">
        <v>553</v>
      </c>
      <c r="B13" s="456">
        <v>3.7193425856308457</v>
      </c>
      <c r="C13" s="457">
        <v>0.87408949011447135</v>
      </c>
      <c r="D13" s="457">
        <v>1.4441922838869248</v>
      </c>
      <c r="E13" s="457">
        <v>4.4335977221883427</v>
      </c>
      <c r="F13" s="457">
        <v>4.3816942551119675</v>
      </c>
      <c r="G13" s="457">
        <v>3.0223880597014974</v>
      </c>
      <c r="H13" s="457">
        <v>2.7888446215139417</v>
      </c>
      <c r="I13" s="457">
        <v>2.3079633544749623</v>
      </c>
      <c r="J13" s="457">
        <v>2.6864129498880951</v>
      </c>
      <c r="K13" s="457">
        <v>3.5049471742411464</v>
      </c>
      <c r="L13" s="457">
        <v>2.3817239144523716</v>
      </c>
      <c r="M13" s="457">
        <v>4.3044785567336596</v>
      </c>
      <c r="N13" s="457">
        <v>1.8206645425580259</v>
      </c>
      <c r="O13" s="457">
        <v>2.8609745194456915</v>
      </c>
      <c r="P13" s="457">
        <v>3.3753440533101697</v>
      </c>
      <c r="Q13" s="457">
        <v>1.7719760305132004</v>
      </c>
      <c r="R13" s="458">
        <v>2.7547103950910534</v>
      </c>
      <c r="S13" s="458">
        <v>3.0407343660355801</v>
      </c>
      <c r="T13" s="458">
        <v>2.3756614739635307</v>
      </c>
      <c r="U13" s="458">
        <v>2.372670228518059</v>
      </c>
    </row>
    <row r="14" spans="1:21" s="459" customFormat="1" ht="10.5" customHeight="1">
      <c r="A14" s="455" t="s">
        <v>552</v>
      </c>
      <c r="B14" s="456" t="s">
        <v>1067</v>
      </c>
      <c r="C14" s="457">
        <v>0.82369832993272052</v>
      </c>
      <c r="D14" s="457">
        <v>0.51529006146004974</v>
      </c>
      <c r="E14" s="457">
        <v>1.9592491098558984</v>
      </c>
      <c r="F14" s="457">
        <v>2.294584415109524</v>
      </c>
      <c r="G14" s="457">
        <v>1.6997622835081883</v>
      </c>
      <c r="H14" s="457">
        <v>1.2961335676625607</v>
      </c>
      <c r="I14" s="457">
        <v>1.9501192799826317</v>
      </c>
      <c r="J14" s="457">
        <v>2.1076725406941721</v>
      </c>
      <c r="K14" s="457">
        <v>1.6858333333333198</v>
      </c>
      <c r="L14" s="457">
        <v>2.2020438769740247</v>
      </c>
      <c r="M14" s="457">
        <v>3.2242803303664358</v>
      </c>
      <c r="N14" s="457">
        <v>0.40316629250143343</v>
      </c>
      <c r="O14" s="457">
        <v>1.6920696324951523</v>
      </c>
      <c r="P14" s="457">
        <v>3.5515113704664758</v>
      </c>
      <c r="Q14" s="457">
        <v>2.3441275395435612</v>
      </c>
      <c r="R14" s="458">
        <v>1.7649997514314508</v>
      </c>
      <c r="S14" s="458">
        <v>3.6881000082835458</v>
      </c>
      <c r="T14" s="458">
        <v>2.0818308032699351</v>
      </c>
      <c r="U14" s="458">
        <v>1.5240932666529927</v>
      </c>
    </row>
    <row r="15" spans="1:21" s="459" customFormat="1" ht="10.5" customHeight="1">
      <c r="A15" s="455" t="s">
        <v>546</v>
      </c>
      <c r="B15" s="456" t="s">
        <v>1067</v>
      </c>
      <c r="C15" s="457">
        <v>0.91200631759396078</v>
      </c>
      <c r="D15" s="457">
        <v>1.1299435028248483</v>
      </c>
      <c r="E15" s="457">
        <v>2.6781669938094499</v>
      </c>
      <c r="F15" s="457">
        <v>2.437365586456619</v>
      </c>
      <c r="G15" s="457">
        <v>1.5530513736116136</v>
      </c>
      <c r="H15" s="457">
        <v>1.5080970765710466</v>
      </c>
      <c r="I15" s="457">
        <v>1.8599429048879124</v>
      </c>
      <c r="J15" s="457">
        <v>2.5343279246024419</v>
      </c>
      <c r="K15" s="457">
        <v>2.3350194584954798</v>
      </c>
      <c r="L15" s="457">
        <v>1.8151317986009996</v>
      </c>
      <c r="M15" s="457">
        <v>4.491721986723185</v>
      </c>
      <c r="N15" s="457">
        <v>-9.1851262189357515E-3</v>
      </c>
      <c r="O15" s="457">
        <v>2.332470872820247</v>
      </c>
      <c r="P15" s="457">
        <v>3.4687053507977739</v>
      </c>
      <c r="Q15" s="457">
        <v>2.9333071395982957</v>
      </c>
      <c r="R15" s="458">
        <v>1.9054682572922976</v>
      </c>
      <c r="S15" s="458">
        <v>3.4409192519076814</v>
      </c>
      <c r="T15" s="458">
        <v>2.4829934317831093</v>
      </c>
      <c r="U15" s="458">
        <v>1.749938574896337</v>
      </c>
    </row>
    <row r="16" spans="1:21" s="459" customFormat="1" ht="10.5" customHeight="1">
      <c r="A16" s="455" t="s">
        <v>538</v>
      </c>
      <c r="B16" s="456">
        <v>2.8139950507146994</v>
      </c>
      <c r="C16" s="457">
        <v>0.98681176796089343</v>
      </c>
      <c r="D16" s="457">
        <v>1.7442922374429237</v>
      </c>
      <c r="E16" s="457">
        <v>2.7376357598061229</v>
      </c>
      <c r="F16" s="457">
        <v>2.5074261750830162</v>
      </c>
      <c r="G16" s="457">
        <v>2.2756328304781359</v>
      </c>
      <c r="H16" s="457">
        <v>2.7416666666666645</v>
      </c>
      <c r="I16" s="457">
        <v>1.8411874442371801</v>
      </c>
      <c r="J16" s="457">
        <v>2.2300095571837986</v>
      </c>
      <c r="K16" s="457">
        <v>2.0177625428482449</v>
      </c>
      <c r="L16" s="457">
        <v>2.130584192439855</v>
      </c>
      <c r="M16" s="457">
        <v>2.3852250635561623</v>
      </c>
      <c r="N16" s="457">
        <v>0.29942306287884524</v>
      </c>
      <c r="O16" s="457">
        <v>1.7766127857870906</v>
      </c>
      <c r="P16" s="457">
        <v>2.8902561167549079</v>
      </c>
      <c r="Q16" s="457">
        <v>2.3378216868955359</v>
      </c>
      <c r="R16" s="458">
        <v>2.2061956767022828</v>
      </c>
      <c r="S16" s="458">
        <v>2.6606283611661397</v>
      </c>
      <c r="T16" s="458">
        <v>2.2846081357084325</v>
      </c>
      <c r="U16" s="458">
        <v>2.1999999999999797</v>
      </c>
    </row>
    <row r="17" spans="1:22" s="459" customFormat="1" ht="10.5" customHeight="1">
      <c r="A17" s="455" t="s">
        <v>537</v>
      </c>
      <c r="B17" s="456">
        <v>13.928399058588489</v>
      </c>
      <c r="C17" s="457">
        <v>5.1102441331204895</v>
      </c>
      <c r="D17" s="457">
        <v>3.3368828618899782</v>
      </c>
      <c r="E17" s="457">
        <v>3.8432734728355955</v>
      </c>
      <c r="F17" s="457">
        <v>3.5691011338364387</v>
      </c>
      <c r="G17" s="457">
        <v>2.4893983312340939</v>
      </c>
      <c r="H17" s="457">
        <v>2.8101772594815166</v>
      </c>
      <c r="I17" s="457">
        <v>1.0547393322872356</v>
      </c>
      <c r="J17" s="457">
        <v>3.0525739434073218</v>
      </c>
      <c r="K17" s="457">
        <v>3.3920189911360143</v>
      </c>
      <c r="L17" s="457">
        <v>4.4077979045022309</v>
      </c>
      <c r="M17" s="457">
        <v>8.7162685477714774</v>
      </c>
      <c r="N17" s="457">
        <v>0.35304673183100821</v>
      </c>
      <c r="O17" s="457">
        <v>1.4108098198363228</v>
      </c>
      <c r="P17" s="457">
        <v>3.3403180081351014</v>
      </c>
      <c r="Q17" s="457">
        <v>3.6583205472743963</v>
      </c>
      <c r="R17" s="458">
        <v>2.9306619173603332</v>
      </c>
      <c r="S17" s="458">
        <v>4.0323947347161049</v>
      </c>
      <c r="T17" s="458">
        <v>3.4330999889599978</v>
      </c>
      <c r="U17" s="458">
        <v>2.8295374400999274</v>
      </c>
    </row>
    <row r="18" spans="1:22" s="459" customFormat="1" ht="10.5" customHeight="1">
      <c r="A18" s="455" t="s">
        <v>527</v>
      </c>
      <c r="B18" s="456" t="s">
        <v>1067</v>
      </c>
      <c r="C18" s="457">
        <v>10.676458127383137</v>
      </c>
      <c r="D18" s="457">
        <v>2.1117774658670374</v>
      </c>
      <c r="E18" s="457">
        <v>3.9050296782255689</v>
      </c>
      <c r="F18" s="457">
        <v>4.7466599166079426</v>
      </c>
      <c r="G18" s="457">
        <v>1.8154311649017041</v>
      </c>
      <c r="H18" s="457">
        <v>0.10948619691872885</v>
      </c>
      <c r="I18" s="457">
        <v>2.7966565112100827</v>
      </c>
      <c r="J18" s="457">
        <v>1.8770423284443893</v>
      </c>
      <c r="K18" s="457">
        <v>2.5510965239445182</v>
      </c>
      <c r="L18" s="457">
        <v>2.9776187105698293</v>
      </c>
      <c r="M18" s="457">
        <v>6.3394198087107556</v>
      </c>
      <c r="N18" s="457">
        <v>1.0332267895636571</v>
      </c>
      <c r="O18" s="457">
        <v>1.4640965273690298</v>
      </c>
      <c r="P18" s="457">
        <v>1.9287941411065157</v>
      </c>
      <c r="Q18" s="457">
        <v>3.9219277794270369</v>
      </c>
      <c r="R18" s="458">
        <v>2.1482908334245154</v>
      </c>
      <c r="S18" s="458">
        <v>2.3954067129782874</v>
      </c>
      <c r="T18" s="458">
        <v>3.6709205125354361</v>
      </c>
      <c r="U18" s="458">
        <v>1.7584339652292336</v>
      </c>
    </row>
    <row r="19" spans="1:22" s="459" customFormat="1" ht="10.5" customHeight="1">
      <c r="A19" s="455" t="s">
        <v>526</v>
      </c>
      <c r="B19" s="456">
        <v>2.6026524372109954</v>
      </c>
      <c r="C19" s="457">
        <v>1.8456512862393026</v>
      </c>
      <c r="D19" s="457">
        <v>2.497794884131177</v>
      </c>
      <c r="E19" s="457">
        <v>2.9032770873677061</v>
      </c>
      <c r="F19" s="457">
        <v>2.3499999999999854</v>
      </c>
      <c r="G19" s="457">
        <v>2.426314932421425</v>
      </c>
      <c r="H19" s="457">
        <v>2.0906200317964974</v>
      </c>
      <c r="I19" s="457">
        <v>1.1601650704664346</v>
      </c>
      <c r="J19" s="457">
        <v>1.8088054187191949</v>
      </c>
      <c r="K19" s="457">
        <v>1.890073334845388</v>
      </c>
      <c r="L19" s="457">
        <v>1.7140313126067008</v>
      </c>
      <c r="M19" s="457">
        <v>3.3994747592646535</v>
      </c>
      <c r="N19" s="457">
        <v>1.3263722308451964</v>
      </c>
      <c r="O19" s="457">
        <v>2.297730121153041</v>
      </c>
      <c r="P19" s="457">
        <v>2.7566022325074879</v>
      </c>
      <c r="Q19" s="457">
        <v>2.6648445388194775</v>
      </c>
      <c r="R19" s="458">
        <v>1.9382433673842847</v>
      </c>
      <c r="S19" s="458">
        <v>2.6376438098800303</v>
      </c>
      <c r="T19" s="458">
        <v>2.5415108475546067</v>
      </c>
      <c r="U19" s="458">
        <v>1.8310325667310945</v>
      </c>
    </row>
    <row r="20" spans="1:22" s="459" customFormat="1" ht="9.75" customHeight="1">
      <c r="A20" s="455" t="s">
        <v>521</v>
      </c>
      <c r="B20" s="456" t="s">
        <v>1067</v>
      </c>
      <c r="C20" s="457">
        <v>8.7892905448365699</v>
      </c>
      <c r="D20" s="457">
        <v>3.0996960873908241</v>
      </c>
      <c r="E20" s="457">
        <v>3.9351493975655405</v>
      </c>
      <c r="F20" s="457">
        <v>5.6246963040826881</v>
      </c>
      <c r="G20" s="457">
        <v>3.5911109442040123</v>
      </c>
      <c r="H20" s="457">
        <v>1.3866482988634576</v>
      </c>
      <c r="I20" s="457">
        <v>3.030357206707901</v>
      </c>
      <c r="J20" s="457">
        <v>4.1142480348435706</v>
      </c>
      <c r="K20" s="457">
        <v>4.4449999999999878</v>
      </c>
      <c r="L20" s="457">
        <v>6.7443790192605713</v>
      </c>
      <c r="M20" s="457">
        <v>10.606411684244343</v>
      </c>
      <c r="N20" s="457">
        <v>0.19800374382505925</v>
      </c>
      <c r="O20" s="457">
        <v>2.74229446280434</v>
      </c>
      <c r="P20" s="457">
        <v>5.0795609704862752</v>
      </c>
      <c r="Q20" s="457">
        <v>3.9282801769043862</v>
      </c>
      <c r="R20" s="458">
        <v>3.0028374460577822</v>
      </c>
      <c r="S20" s="458">
        <v>4.4154430245629817</v>
      </c>
      <c r="T20" s="458">
        <v>3.6513745850240475</v>
      </c>
      <c r="U20" s="458">
        <v>2.9646422479015611</v>
      </c>
    </row>
    <row r="21" spans="1:22" s="459" customFormat="1" ht="10.5" customHeight="1">
      <c r="A21" s="455" t="s">
        <v>519</v>
      </c>
      <c r="B21" s="456" t="s">
        <v>1067</v>
      </c>
      <c r="C21" s="457">
        <v>1.3494907582044524</v>
      </c>
      <c r="D21" s="457">
        <v>1.310120869816056</v>
      </c>
      <c r="E21" s="457">
        <v>2.9482269308131137</v>
      </c>
      <c r="F21" s="457">
        <v>2.6648466843311791</v>
      </c>
      <c r="G21" s="457">
        <v>2.009976015850401</v>
      </c>
      <c r="H21" s="457">
        <v>1.3025070492124646</v>
      </c>
      <c r="I21" s="457">
        <v>0.13959198775626014</v>
      </c>
      <c r="J21" s="457">
        <v>0.77088441772192873</v>
      </c>
      <c r="K21" s="457">
        <v>1.274978750354161</v>
      </c>
      <c r="L21" s="457">
        <v>1.5839449692261809</v>
      </c>
      <c r="M21" s="457">
        <v>3.9139133463473419</v>
      </c>
      <c r="N21" s="457">
        <v>1.6353701408538646</v>
      </c>
      <c r="O21" s="457">
        <v>1.6857508800724119</v>
      </c>
      <c r="P21" s="457">
        <v>3.3239054191650297</v>
      </c>
      <c r="Q21" s="457">
        <v>3.2334343637381968</v>
      </c>
      <c r="R21" s="458">
        <v>2.4348067563602083</v>
      </c>
      <c r="S21" s="458">
        <v>3.0040218072341585</v>
      </c>
      <c r="T21" s="458">
        <v>3.3084674924014568</v>
      </c>
      <c r="U21" s="458">
        <v>2.087473220991698</v>
      </c>
    </row>
    <row r="22" spans="1:22" s="459" customFormat="1" ht="10.5" customHeight="1">
      <c r="A22" s="455" t="s">
        <v>518</v>
      </c>
      <c r="B22" s="456" t="s">
        <v>1067</v>
      </c>
      <c r="C22" s="457">
        <v>0.66758463510752097</v>
      </c>
      <c r="D22" s="457">
        <v>0.56222171911555208</v>
      </c>
      <c r="E22" s="457">
        <v>1.8273235525871678</v>
      </c>
      <c r="F22" s="457">
        <v>1.7807133908173123</v>
      </c>
      <c r="G22" s="457">
        <v>1.9378196135221959</v>
      </c>
      <c r="H22" s="457">
        <v>2.1691261342851487</v>
      </c>
      <c r="I22" s="457">
        <v>2.3420730170593318</v>
      </c>
      <c r="J22" s="457">
        <v>1.8995618355354571</v>
      </c>
      <c r="K22" s="457">
        <v>1.9124840626328021</v>
      </c>
      <c r="L22" s="457">
        <v>1.6067573755478737</v>
      </c>
      <c r="M22" s="457">
        <v>3.1586740811678338</v>
      </c>
      <c r="N22" s="457">
        <v>0.10297536392431805</v>
      </c>
      <c r="O22" s="457">
        <v>1.7355320375940675</v>
      </c>
      <c r="P22" s="457">
        <v>2.2934620245892656</v>
      </c>
      <c r="Q22" s="457">
        <v>2.4383479459444191</v>
      </c>
      <c r="R22" s="458">
        <v>1.8438246034092165</v>
      </c>
      <c r="S22" s="458">
        <v>2.6559595416510318</v>
      </c>
      <c r="T22" s="458">
        <v>2.2044507201772534</v>
      </c>
      <c r="U22" s="458">
        <v>1.5285349278466365</v>
      </c>
    </row>
    <row r="23" spans="1:22" s="459" customFormat="1" ht="10.5" customHeight="1">
      <c r="A23" s="455" t="s">
        <v>515</v>
      </c>
      <c r="B23" s="456" t="s">
        <v>1067</v>
      </c>
      <c r="C23" s="457">
        <v>0.60207484253427257</v>
      </c>
      <c r="D23" s="457">
        <v>0.63530061688608086</v>
      </c>
      <c r="E23" s="457">
        <v>1.3998170173833646</v>
      </c>
      <c r="F23" s="457">
        <v>1.903816656140056</v>
      </c>
      <c r="G23" s="457">
        <v>1.3547016114751065</v>
      </c>
      <c r="H23" s="457">
        <v>1.0308377740892993</v>
      </c>
      <c r="I23" s="457">
        <v>1.7898832684824839</v>
      </c>
      <c r="J23" s="457">
        <v>1.9198097179748519</v>
      </c>
      <c r="K23" s="457">
        <v>1.7836306051008499</v>
      </c>
      <c r="L23" s="457">
        <v>2.2764493940386599</v>
      </c>
      <c r="M23" s="457">
        <v>2.7542033626901441</v>
      </c>
      <c r="N23" s="457">
        <v>0.23375409069661401</v>
      </c>
      <c r="O23" s="457">
        <v>1.150497512437787</v>
      </c>
      <c r="P23" s="457">
        <v>2.4823240086074394</v>
      </c>
      <c r="Q23" s="457">
        <v>2.2754453065310321</v>
      </c>
      <c r="R23" s="458">
        <v>1.9656438588158354</v>
      </c>
      <c r="S23" s="458">
        <v>2.6322921238761898</v>
      </c>
      <c r="T23" s="458">
        <v>2.1186755914500921</v>
      </c>
      <c r="U23" s="458">
        <v>1.9692795025485488</v>
      </c>
    </row>
    <row r="24" spans="1:22" s="459" customFormat="1" ht="10.5" customHeight="1">
      <c r="A24" s="455" t="s">
        <v>513</v>
      </c>
      <c r="B24" s="456" t="s">
        <v>1067</v>
      </c>
      <c r="C24" s="457">
        <v>4.5204928283256729</v>
      </c>
      <c r="D24" s="457">
        <v>2.1422031711681555</v>
      </c>
      <c r="E24" s="457">
        <v>2.892793481028777</v>
      </c>
      <c r="F24" s="457">
        <v>3.6539127852299069</v>
      </c>
      <c r="G24" s="457">
        <v>3.9176360475999594</v>
      </c>
      <c r="H24" s="457">
        <v>3.4400044114403228</v>
      </c>
      <c r="I24" s="457">
        <v>3.0270721717265969</v>
      </c>
      <c r="J24" s="457">
        <v>3.4848824574414961</v>
      </c>
      <c r="K24" s="457">
        <v>3.3133609446745593</v>
      </c>
      <c r="L24" s="457">
        <v>2.9885057471264576</v>
      </c>
      <c r="M24" s="457">
        <v>4.2324561403508598</v>
      </c>
      <c r="N24" s="457">
        <v>1.3487722040214978</v>
      </c>
      <c r="O24" s="457">
        <v>4.7005093454133284</v>
      </c>
      <c r="P24" s="457">
        <v>3.1185605336392364</v>
      </c>
      <c r="Q24" s="457">
        <v>0.81751024313756471</v>
      </c>
      <c r="R24" s="458">
        <v>-0.48940516290421066</v>
      </c>
      <c r="S24" s="458">
        <v>2.6232445086380007</v>
      </c>
      <c r="T24" s="458">
        <v>-0.31363066214298296</v>
      </c>
      <c r="U24" s="458">
        <v>-0.66503459563674872</v>
      </c>
    </row>
    <row r="25" spans="1:22" s="459" customFormat="1" ht="10.5" customHeight="1">
      <c r="A25" s="455" t="s">
        <v>505</v>
      </c>
      <c r="B25" s="456" t="s">
        <v>1067</v>
      </c>
      <c r="C25" s="457">
        <v>14.153789551140527</v>
      </c>
      <c r="D25" s="457">
        <v>9.9977439004737878</v>
      </c>
      <c r="E25" s="457">
        <v>9.8036078507952809</v>
      </c>
      <c r="F25" s="457">
        <v>9.1168091168090992</v>
      </c>
      <c r="G25" s="457">
        <v>5.2654482158398741</v>
      </c>
      <c r="H25" s="457">
        <v>4.6610169491525522</v>
      </c>
      <c r="I25" s="457">
        <v>6.7443467956946668</v>
      </c>
      <c r="J25" s="457">
        <v>3.5615171137835189</v>
      </c>
      <c r="K25" s="457">
        <v>3.9303260384100369</v>
      </c>
      <c r="L25" s="457">
        <v>7.9587451654490105</v>
      </c>
      <c r="M25" s="457">
        <v>6.0425125388106071</v>
      </c>
      <c r="N25" s="457">
        <v>4.2117117117117076</v>
      </c>
      <c r="O25" s="457">
        <v>4.8843743246163918</v>
      </c>
      <c r="P25" s="457">
        <v>3.9013668521189704</v>
      </c>
      <c r="Q25" s="457">
        <v>5.7171191386892417</v>
      </c>
      <c r="R25" s="458">
        <v>3.5596706882273565</v>
      </c>
      <c r="S25" s="458">
        <v>4.0915456003278727</v>
      </c>
      <c r="T25" s="458">
        <v>5.4088723513061154</v>
      </c>
      <c r="U25" s="458">
        <v>3.3794317415764663</v>
      </c>
    </row>
    <row r="26" spans="1:22" s="461" customFormat="1" ht="11.25" customHeight="1">
      <c r="A26" s="460" t="s">
        <v>1076</v>
      </c>
      <c r="B26" s="456">
        <v>8.0916525937487638</v>
      </c>
      <c r="C26" s="457">
        <v>1.6592372493042795</v>
      </c>
      <c r="D26" s="457">
        <v>3.2318310976569897</v>
      </c>
      <c r="E26" s="457">
        <v>5.1364744782429028</v>
      </c>
      <c r="F26" s="457">
        <v>6.4050855551615049</v>
      </c>
      <c r="G26" s="457">
        <v>5.1970231133687816</v>
      </c>
      <c r="H26" s="457">
        <v>2.0556617594445381</v>
      </c>
      <c r="I26" s="457">
        <v>3.1581953789280082</v>
      </c>
      <c r="J26" s="457">
        <v>3.987048421471262</v>
      </c>
      <c r="K26" s="457">
        <v>6.6870737185267481</v>
      </c>
      <c r="L26" s="457">
        <v>5.0515638334855062</v>
      </c>
      <c r="M26" s="457">
        <v>12.654573170513883</v>
      </c>
      <c r="N26" s="457">
        <v>12.035112966824402</v>
      </c>
      <c r="O26" s="457">
        <v>5.3963370127572352</v>
      </c>
      <c r="P26" s="457">
        <v>3.9973472397892618</v>
      </c>
      <c r="Q26" s="457">
        <v>6.0428417662357514</v>
      </c>
      <c r="R26" s="458">
        <v>4.0740631278075368</v>
      </c>
      <c r="S26" s="458">
        <v>5.2610413597379502</v>
      </c>
      <c r="T26" s="458">
        <v>6.3062523335893683</v>
      </c>
      <c r="U26" s="458">
        <v>3.1653773532545948</v>
      </c>
      <c r="V26" s="459"/>
    </row>
    <row r="27" spans="1:22" s="459" customFormat="1" ht="10.5" customHeight="1">
      <c r="A27" s="455" t="s">
        <v>499</v>
      </c>
      <c r="B27" s="456" t="s">
        <v>1067</v>
      </c>
      <c r="C27" s="457">
        <v>2.1299717452727851</v>
      </c>
      <c r="D27" s="457">
        <v>2.4686103426260653</v>
      </c>
      <c r="E27" s="457">
        <v>5.2544132917965003</v>
      </c>
      <c r="F27" s="457">
        <v>3.9857932123125606</v>
      </c>
      <c r="G27" s="457">
        <v>4.7248576850094759</v>
      </c>
      <c r="H27" s="457">
        <v>3.9952890016307308</v>
      </c>
      <c r="I27" s="457">
        <v>2.2998519034759246</v>
      </c>
      <c r="J27" s="457">
        <v>2.1800221408498466</v>
      </c>
      <c r="K27" s="457">
        <v>2.7002250187515564</v>
      </c>
      <c r="L27" s="457">
        <v>2.8726771078471103</v>
      </c>
      <c r="M27" s="457">
        <v>3.107990849570097</v>
      </c>
      <c r="N27" s="457">
        <v>-1.7060668655803024</v>
      </c>
      <c r="O27" s="457">
        <v>-1.572229140722281</v>
      </c>
      <c r="P27" s="457">
        <v>1.1861458168590744</v>
      </c>
      <c r="Q27" s="457">
        <v>1.9708612534455661</v>
      </c>
      <c r="R27" s="458">
        <v>1.1905871498345322</v>
      </c>
      <c r="S27" s="458">
        <v>1.5530757214087698</v>
      </c>
      <c r="T27" s="458">
        <v>2.0322713927327873</v>
      </c>
      <c r="U27" s="458">
        <v>1.0434838308479355</v>
      </c>
    </row>
    <row r="28" spans="1:22" s="459" customFormat="1" ht="10.5" customHeight="1">
      <c r="A28" s="455" t="s">
        <v>498</v>
      </c>
      <c r="B28" s="456">
        <v>13.762605169785838</v>
      </c>
      <c r="C28" s="457">
        <v>5.4348439658045589</v>
      </c>
      <c r="D28" s="457">
        <v>5.1999997256205521</v>
      </c>
      <c r="E28" s="457">
        <v>1.1248412211172676</v>
      </c>
      <c r="F28" s="457">
        <v>1.0999998711492598</v>
      </c>
      <c r="G28" s="457">
        <v>5.6874384151176072</v>
      </c>
      <c r="H28" s="457">
        <v>0.71666681272115618</v>
      </c>
      <c r="I28" s="457">
        <v>-0.4137022015530567</v>
      </c>
      <c r="J28" s="457">
        <v>1.3293453755723883</v>
      </c>
      <c r="K28" s="457">
        <v>2.107248276199547</v>
      </c>
      <c r="L28" s="457">
        <v>0.49166674174871972</v>
      </c>
      <c r="M28" s="457">
        <v>4.5940789371627488</v>
      </c>
      <c r="N28" s="457">
        <v>3.3250001695354303</v>
      </c>
      <c r="O28" s="457">
        <v>2.6937656277560063</v>
      </c>
      <c r="P28" s="457">
        <v>3.4583333324711862</v>
      </c>
      <c r="Q28" s="457">
        <v>2.1857554086676334</v>
      </c>
      <c r="R28" s="458">
        <v>2.5220292395634392</v>
      </c>
      <c r="S28" s="458">
        <v>2.488136286398257</v>
      </c>
      <c r="T28" s="458">
        <v>2.6501973783555899</v>
      </c>
      <c r="U28" s="458">
        <v>2.6595398029493511</v>
      </c>
    </row>
    <row r="29" spans="1:22" s="459" customFormat="1" ht="10.5" customHeight="1">
      <c r="A29" s="455" t="s">
        <v>497</v>
      </c>
      <c r="B29" s="456" t="s">
        <v>1067</v>
      </c>
      <c r="C29" s="457">
        <v>1.979802019798016</v>
      </c>
      <c r="D29" s="457">
        <v>1.6570251985488893</v>
      </c>
      <c r="E29" s="457">
        <v>2.5752314814814659</v>
      </c>
      <c r="F29" s="457">
        <v>2.322519981194171</v>
      </c>
      <c r="G29" s="457">
        <v>2.6098143723580325</v>
      </c>
      <c r="H29" s="457">
        <v>2.8121081855633001</v>
      </c>
      <c r="I29" s="457">
        <v>2.2735191637630825</v>
      </c>
      <c r="J29" s="457">
        <v>2.2059449791329344</v>
      </c>
      <c r="K29" s="457">
        <v>2.2166666666666668</v>
      </c>
      <c r="L29" s="457">
        <v>2.0381542475134129</v>
      </c>
      <c r="M29" s="457">
        <v>3.499520613614604</v>
      </c>
      <c r="N29" s="457">
        <v>0.76424270495600855</v>
      </c>
      <c r="O29" s="457">
        <v>1.6394698536734698</v>
      </c>
      <c r="P29" s="457">
        <v>2.9019371372578595</v>
      </c>
      <c r="Q29" s="457">
        <v>3.2921115730654371</v>
      </c>
      <c r="R29" s="458">
        <v>2.3454361937017554</v>
      </c>
      <c r="S29" s="458">
        <v>3.6838060223010061</v>
      </c>
      <c r="T29" s="458">
        <v>3.1918682295690282</v>
      </c>
      <c r="U29" s="458">
        <v>1.3282269967656246</v>
      </c>
    </row>
    <row r="30" spans="1:22" s="459" customFormat="1" ht="10.5" customHeight="1">
      <c r="A30" s="455" t="s">
        <v>495</v>
      </c>
      <c r="B30" s="456">
        <v>1.4275085663627092</v>
      </c>
      <c r="C30" s="457">
        <v>0.67147475752300512</v>
      </c>
      <c r="D30" s="457">
        <v>-0.34584980237154506</v>
      </c>
      <c r="E30" s="457">
        <v>-0.54092740885351986</v>
      </c>
      <c r="F30" s="457">
        <v>-0.80409356725147374</v>
      </c>
      <c r="G30" s="457">
        <v>-0.89249160730366928</v>
      </c>
      <c r="H30" s="457">
        <v>-0.26437541308659274</v>
      </c>
      <c r="I30" s="457">
        <v>-1.6567263088151936E-2</v>
      </c>
      <c r="J30" s="457">
        <v>-0.56226135362323904</v>
      </c>
      <c r="K30" s="457">
        <v>0.23236514522821938</v>
      </c>
      <c r="L30" s="457">
        <v>7.4515648286155312E-2</v>
      </c>
      <c r="M30" s="457">
        <v>1.3816497062960176</v>
      </c>
      <c r="N30" s="457">
        <v>-1.3546597029541418</v>
      </c>
      <c r="O30" s="457">
        <v>-0.72799470549305134</v>
      </c>
      <c r="P30" s="457">
        <v>-0.28333333333332433</v>
      </c>
      <c r="Q30" s="457">
        <v>-0.16655076551811421</v>
      </c>
      <c r="R30" s="458">
        <v>-0.24128696848423337</v>
      </c>
      <c r="S30" s="458">
        <v>-0.30040053404539746</v>
      </c>
      <c r="T30" s="458">
        <v>-0.22621559662602264</v>
      </c>
      <c r="U30" s="458">
        <v>-5.0000000000016698E-2</v>
      </c>
    </row>
    <row r="31" spans="1:22" s="459" customFormat="1" ht="10.5" customHeight="1">
      <c r="A31" s="455" t="s">
        <v>1068</v>
      </c>
      <c r="B31" s="456">
        <v>6.1754847444998564</v>
      </c>
      <c r="C31" s="457">
        <v>7.5134086788424259</v>
      </c>
      <c r="D31" s="457">
        <v>0.81287436936718915</v>
      </c>
      <c r="E31" s="457">
        <v>2.2591414796094389</v>
      </c>
      <c r="F31" s="457">
        <v>4.0665596629382739</v>
      </c>
      <c r="G31" s="457">
        <v>2.7624024949036041</v>
      </c>
      <c r="H31" s="457">
        <v>3.514692698900701</v>
      </c>
      <c r="I31" s="457">
        <v>3.5908066288329099</v>
      </c>
      <c r="J31" s="457">
        <v>2.7541823191952641</v>
      </c>
      <c r="K31" s="457">
        <v>2.2415342658709481</v>
      </c>
      <c r="L31" s="457">
        <v>2.5350172259297921</v>
      </c>
      <c r="M31" s="457">
        <v>4.6738364088044992</v>
      </c>
      <c r="N31" s="457">
        <v>2.7566507240307736</v>
      </c>
      <c r="O31" s="457">
        <v>2.9391451023257131</v>
      </c>
      <c r="P31" s="457">
        <v>4.0256709451575334</v>
      </c>
      <c r="Q31" s="457">
        <v>3.0171117145931126</v>
      </c>
      <c r="R31" s="458">
        <v>3.0392835160748088</v>
      </c>
      <c r="S31" s="458">
        <v>3.9680607247283053</v>
      </c>
      <c r="T31" s="458">
        <v>2.9005984490675596</v>
      </c>
      <c r="U31" s="458">
        <v>2.9799980578752994</v>
      </c>
    </row>
    <row r="32" spans="1:22" s="459" customFormat="1" ht="10.5" customHeight="1">
      <c r="A32" s="455" t="s">
        <v>483</v>
      </c>
      <c r="B32" s="456" t="s">
        <v>1067</v>
      </c>
      <c r="C32" s="457">
        <v>0.97104090724990932</v>
      </c>
      <c r="D32" s="457">
        <v>1.0158545512891193</v>
      </c>
      <c r="E32" s="457">
        <v>3.7813207322400011</v>
      </c>
      <c r="F32" s="457">
        <v>2.4000153049999362</v>
      </c>
      <c r="G32" s="457">
        <v>2.0551144325082094</v>
      </c>
      <c r="H32" s="457">
        <v>2.5427917620137075</v>
      </c>
      <c r="I32" s="457">
        <v>3.2322276573713893</v>
      </c>
      <c r="J32" s="457">
        <v>3.761381421369836</v>
      </c>
      <c r="K32" s="457">
        <v>2.9608580071500246</v>
      </c>
      <c r="L32" s="457">
        <v>2.6523245273245566</v>
      </c>
      <c r="M32" s="457">
        <v>4.0897586514125006</v>
      </c>
      <c r="N32" s="457">
        <v>8.3323233547760722E-3</v>
      </c>
      <c r="O32" s="457">
        <v>2.7979125481909062</v>
      </c>
      <c r="P32" s="457">
        <v>3.7326574369478394</v>
      </c>
      <c r="Q32" s="457">
        <v>3.1366464620966816</v>
      </c>
      <c r="R32" s="458">
        <v>2.329929465219327</v>
      </c>
      <c r="S32" s="458">
        <v>3.7302992590165562</v>
      </c>
      <c r="T32" s="458">
        <v>2.8016641727425906</v>
      </c>
      <c r="U32" s="458">
        <v>2.2774975420916554</v>
      </c>
    </row>
    <row r="33" spans="1:21" s="459" customFormat="1" ht="10.5" customHeight="1">
      <c r="A33" s="455" t="s">
        <v>477</v>
      </c>
      <c r="B33" s="456">
        <v>28.045474323543612</v>
      </c>
      <c r="C33" s="457">
        <v>15.92839236363368</v>
      </c>
      <c r="D33" s="457">
        <v>16.585619207082125</v>
      </c>
      <c r="E33" s="457">
        <v>9.4915599225355844</v>
      </c>
      <c r="F33" s="457">
        <v>6.3677366888230225</v>
      </c>
      <c r="G33" s="457">
        <v>5.0307325339822295</v>
      </c>
      <c r="H33" s="457">
        <v>4.5468979412379484</v>
      </c>
      <c r="I33" s="457">
        <v>4.6884071471534616</v>
      </c>
      <c r="J33" s="457">
        <v>3.9880607362352327</v>
      </c>
      <c r="K33" s="457">
        <v>3.6294632243853542</v>
      </c>
      <c r="L33" s="457">
        <v>3.9668496306912049</v>
      </c>
      <c r="M33" s="457">
        <v>5.1249816922483982</v>
      </c>
      <c r="N33" s="457">
        <v>5.2973571258789764</v>
      </c>
      <c r="O33" s="457">
        <v>4.1567278355935988</v>
      </c>
      <c r="P33" s="457">
        <v>3.4073796173357929</v>
      </c>
      <c r="Q33" s="457">
        <v>4.0115435135312572</v>
      </c>
      <c r="R33" s="458">
        <v>3.3959080175098633</v>
      </c>
      <c r="S33" s="458">
        <v>3.5115097383814575</v>
      </c>
      <c r="T33" s="458">
        <v>3.8891814746569775</v>
      </c>
      <c r="U33" s="458">
        <v>3.363157990561616</v>
      </c>
    </row>
    <row r="34" spans="1:21" s="459" customFormat="1" ht="10.5" customHeight="1">
      <c r="A34" s="455" t="s">
        <v>470</v>
      </c>
      <c r="B34" s="456" t="s">
        <v>1067</v>
      </c>
      <c r="C34" s="457">
        <v>1.7729991455425642</v>
      </c>
      <c r="D34" s="457">
        <v>2.0349621692936637</v>
      </c>
      <c r="E34" s="457">
        <v>2.3411403998550018</v>
      </c>
      <c r="F34" s="457">
        <v>5.1111727940120977</v>
      </c>
      <c r="G34" s="457">
        <v>3.8664323374340892</v>
      </c>
      <c r="H34" s="457">
        <v>2.2364833469223022</v>
      </c>
      <c r="I34" s="457">
        <v>1.3797657228119986</v>
      </c>
      <c r="J34" s="457">
        <v>1.5022457559020097</v>
      </c>
      <c r="K34" s="457">
        <v>1.6508470903924266</v>
      </c>
      <c r="L34" s="457">
        <v>1.5830464010493372</v>
      </c>
      <c r="M34" s="457">
        <v>2.210457505790453</v>
      </c>
      <c r="N34" s="457">
        <v>0.97433872878007755</v>
      </c>
      <c r="O34" s="457">
        <v>0.9297488348815941</v>
      </c>
      <c r="P34" s="457">
        <v>2.4768929210602364</v>
      </c>
      <c r="Q34" s="457">
        <v>2.3974884351776637</v>
      </c>
      <c r="R34" s="458">
        <v>1.5277394992625926</v>
      </c>
      <c r="S34" s="458">
        <v>2.6367363777148212</v>
      </c>
      <c r="T34" s="458">
        <v>2.0483620465230334</v>
      </c>
      <c r="U34" s="458">
        <v>1.4459637869546516</v>
      </c>
    </row>
    <row r="35" spans="1:21" s="459" customFormat="1" ht="10.5" customHeight="1">
      <c r="A35" s="455" t="s">
        <v>469</v>
      </c>
      <c r="B35" s="456">
        <v>3.1871100273870594</v>
      </c>
      <c r="C35" s="457">
        <v>1.265240416832536</v>
      </c>
      <c r="D35" s="457">
        <v>-0.11426629467483629</v>
      </c>
      <c r="E35" s="457">
        <v>2.6152327961308286</v>
      </c>
      <c r="F35" s="457">
        <v>2.6258205810780089</v>
      </c>
      <c r="G35" s="457">
        <v>2.6770906977101827</v>
      </c>
      <c r="H35" s="457">
        <v>1.7535763619230815</v>
      </c>
      <c r="I35" s="457">
        <v>2.290249453131521</v>
      </c>
      <c r="J35" s="457">
        <v>3.0370206303592662</v>
      </c>
      <c r="K35" s="457">
        <v>3.3654044682326356</v>
      </c>
      <c r="L35" s="457">
        <v>2.3761433315523606</v>
      </c>
      <c r="M35" s="457">
        <v>3.9589442815249232</v>
      </c>
      <c r="N35" s="457">
        <v>2.1156558533145242</v>
      </c>
      <c r="O35" s="457">
        <v>2.302025782688788</v>
      </c>
      <c r="P35" s="457">
        <v>4.0279027902790032</v>
      </c>
      <c r="Q35" s="457">
        <v>1.7273664267192013</v>
      </c>
      <c r="R35" s="458">
        <v>2.5509753306836913</v>
      </c>
      <c r="S35" s="458">
        <v>1.8635338561098225</v>
      </c>
      <c r="T35" s="458">
        <v>2.0029473302128897</v>
      </c>
      <c r="U35" s="458">
        <v>2.9052519176662184</v>
      </c>
    </row>
    <row r="36" spans="1:21" s="459" customFormat="1" ht="10.5" customHeight="1">
      <c r="A36" s="455" t="s">
        <v>465</v>
      </c>
      <c r="B36" s="456">
        <v>3.0959674023362074</v>
      </c>
      <c r="C36" s="457">
        <v>2.2667234767788758</v>
      </c>
      <c r="D36" s="457">
        <v>2.3331389050912366</v>
      </c>
      <c r="E36" s="457">
        <v>3.0860679097792998</v>
      </c>
      <c r="F36" s="457">
        <v>3.0173775671406222</v>
      </c>
      <c r="G36" s="457">
        <v>1.2881459898788528</v>
      </c>
      <c r="H36" s="457">
        <v>2.4753974261922718</v>
      </c>
      <c r="I36" s="457">
        <v>0.46539115018100485</v>
      </c>
      <c r="J36" s="457">
        <v>1.5220588235293819</v>
      </c>
      <c r="K36" s="457">
        <v>2.3321503585137959</v>
      </c>
      <c r="L36" s="457">
        <v>0.72899709816689473</v>
      </c>
      <c r="M36" s="457">
        <v>3.7661607644744244</v>
      </c>
      <c r="N36" s="457">
        <v>2.1668472372697867</v>
      </c>
      <c r="O36" s="457">
        <v>2.3992576882290839</v>
      </c>
      <c r="P36" s="457">
        <v>1.3009708737863557</v>
      </c>
      <c r="Q36" s="457">
        <v>1.0712664777818182</v>
      </c>
      <c r="R36" s="458">
        <v>2.1177990378903555</v>
      </c>
      <c r="S36" s="458">
        <v>0.94321347878385531</v>
      </c>
      <c r="T36" s="458">
        <v>1.5693773944003064</v>
      </c>
      <c r="U36" s="458">
        <v>2.4216232773535351</v>
      </c>
    </row>
    <row r="37" spans="1:21" s="459" customFormat="1" ht="10.5" customHeight="1">
      <c r="A37" s="455" t="s">
        <v>457</v>
      </c>
      <c r="B37" s="456" t="s">
        <v>1067</v>
      </c>
      <c r="C37" s="457">
        <v>11.59785346621398</v>
      </c>
      <c r="D37" s="457">
        <v>7.1540726202159011</v>
      </c>
      <c r="E37" s="457">
        <v>9.9001740086088752</v>
      </c>
      <c r="F37" s="457">
        <v>5.4083333333333261</v>
      </c>
      <c r="G37" s="457">
        <v>1.9052889556486763</v>
      </c>
      <c r="H37" s="457">
        <v>0.6826997672614743</v>
      </c>
      <c r="I37" s="457">
        <v>3.3826475574048276</v>
      </c>
      <c r="J37" s="457">
        <v>2.1837966758589733</v>
      </c>
      <c r="K37" s="457">
        <v>1.3056163384390862</v>
      </c>
      <c r="L37" s="457">
        <v>2.4375820929688041</v>
      </c>
      <c r="M37" s="457">
        <v>4.1649719352476966</v>
      </c>
      <c r="N37" s="457">
        <v>3.7953924248340432</v>
      </c>
      <c r="O37" s="457">
        <v>2.5806937025054433</v>
      </c>
      <c r="P37" s="457">
        <v>4.2394014962593651</v>
      </c>
      <c r="Q37" s="457">
        <v>3.8814779069957783</v>
      </c>
      <c r="R37" s="458">
        <v>2.7616962277547508</v>
      </c>
      <c r="S37" s="458">
        <v>4.439239754790969</v>
      </c>
      <c r="T37" s="458">
        <v>3.3160927219354042</v>
      </c>
      <c r="U37" s="458">
        <v>2.6999999999999691</v>
      </c>
    </row>
    <row r="38" spans="1:21" s="459" customFormat="1" ht="10.5" customHeight="1">
      <c r="A38" s="455" t="s">
        <v>456</v>
      </c>
      <c r="B38" s="456" t="s">
        <v>1067</v>
      </c>
      <c r="C38" s="457">
        <v>2.2142191605858619</v>
      </c>
      <c r="D38" s="457">
        <v>2.1683020259335661</v>
      </c>
      <c r="E38" s="457">
        <v>2.8039819149682677</v>
      </c>
      <c r="F38" s="457">
        <v>4.4096423138432872</v>
      </c>
      <c r="G38" s="457">
        <v>3.6779676846922627</v>
      </c>
      <c r="H38" s="457">
        <v>3.2583237244162344</v>
      </c>
      <c r="I38" s="457">
        <v>2.5090512540894228</v>
      </c>
      <c r="J38" s="457">
        <v>2.1267904102943769</v>
      </c>
      <c r="K38" s="457">
        <v>3.0433333333333312</v>
      </c>
      <c r="L38" s="457">
        <v>2.4229288648788483</v>
      </c>
      <c r="M38" s="457">
        <v>2.6514433706019913</v>
      </c>
      <c r="N38" s="457">
        <v>-0.90303524452717276</v>
      </c>
      <c r="O38" s="457">
        <v>1.3894063586686656</v>
      </c>
      <c r="P38" s="457">
        <v>3.5568280994013213</v>
      </c>
      <c r="Q38" s="457">
        <v>3.1411035755186223</v>
      </c>
      <c r="R38" s="458">
        <v>0.67184902976313854</v>
      </c>
      <c r="S38" s="458">
        <v>3.7819253656579566</v>
      </c>
      <c r="T38" s="458">
        <v>2.3131906614610953</v>
      </c>
      <c r="U38" s="458">
        <v>0.48086469140742327</v>
      </c>
    </row>
    <row r="39" spans="1:21" s="459" customFormat="1" ht="10.5" customHeight="1">
      <c r="A39" s="455" t="s">
        <v>1069</v>
      </c>
      <c r="B39" s="456" t="s">
        <v>1067</v>
      </c>
      <c r="C39" s="457">
        <v>6.6922333791972894</v>
      </c>
      <c r="D39" s="457">
        <v>10.44862121004253</v>
      </c>
      <c r="E39" s="457">
        <v>12.19536432067172</v>
      </c>
      <c r="F39" s="457">
        <v>7.1597803463088416</v>
      </c>
      <c r="G39" s="457">
        <v>3.4961928278456122</v>
      </c>
      <c r="H39" s="457">
        <v>8.4342400798602224</v>
      </c>
      <c r="I39" s="457">
        <v>7.4679628811312293</v>
      </c>
      <c r="J39" s="457">
        <v>2.7951959978070207</v>
      </c>
      <c r="K39" s="457">
        <v>4.2642022016849968</v>
      </c>
      <c r="L39" s="457">
        <v>1.8902458518494702</v>
      </c>
      <c r="M39" s="457">
        <v>3.9339195644841229</v>
      </c>
      <c r="N39" s="457">
        <v>0.92455621301774649</v>
      </c>
      <c r="O39" s="457">
        <v>0.69697354940509992</v>
      </c>
      <c r="P39" s="457">
        <v>4.0786317423303187</v>
      </c>
      <c r="Q39" s="457">
        <v>3.2366963715151131</v>
      </c>
      <c r="R39" s="458">
        <v>2.3006659948717534</v>
      </c>
      <c r="S39" s="458">
        <v>4.6627002080886104</v>
      </c>
      <c r="T39" s="458">
        <v>2.6019453841081175</v>
      </c>
      <c r="U39" s="458">
        <v>2.8377835652401151</v>
      </c>
    </row>
    <row r="40" spans="1:21" s="459" customFormat="1" ht="10.5" customHeight="1">
      <c r="A40" s="455" t="s">
        <v>446</v>
      </c>
      <c r="B40" s="456" t="s">
        <v>1067</v>
      </c>
      <c r="C40" s="457">
        <v>7.9142273655548063</v>
      </c>
      <c r="D40" s="457">
        <v>6.1176084680115483</v>
      </c>
      <c r="E40" s="457">
        <v>8.945215902606062</v>
      </c>
      <c r="F40" s="457">
        <v>8.5599546029944573</v>
      </c>
      <c r="G40" s="457">
        <v>7.464817048652983</v>
      </c>
      <c r="H40" s="457">
        <v>5.6900454604980055</v>
      </c>
      <c r="I40" s="457">
        <v>3.6507978652788875</v>
      </c>
      <c r="J40" s="457">
        <v>2.4651194562563372</v>
      </c>
      <c r="K40" s="457">
        <v>2.5424788126765296</v>
      </c>
      <c r="L40" s="457">
        <v>3.7553229528979548</v>
      </c>
      <c r="M40" s="457">
        <v>5.528968536808887</v>
      </c>
      <c r="N40" s="457">
        <v>0.86393729774665307</v>
      </c>
      <c r="O40" s="457">
        <v>2.0979278271619384</v>
      </c>
      <c r="P40" s="457">
        <v>2.0850901280748513</v>
      </c>
      <c r="Q40" s="457">
        <v>2.4116991707555435</v>
      </c>
      <c r="R40" s="458">
        <v>1.3944658735738358</v>
      </c>
      <c r="S40" s="458">
        <v>2.6021965113821377</v>
      </c>
      <c r="T40" s="458">
        <v>1.814294150710638</v>
      </c>
      <c r="U40" s="458">
        <v>1.3600363266567772</v>
      </c>
    </row>
    <row r="41" spans="1:21" s="459" customFormat="1" ht="10.5" customHeight="1">
      <c r="A41" s="455" t="s">
        <v>443</v>
      </c>
      <c r="B41" s="456" t="s">
        <v>1067</v>
      </c>
      <c r="C41" s="457">
        <v>1.7635573471058485</v>
      </c>
      <c r="D41" s="457">
        <v>2.2353572239070862</v>
      </c>
      <c r="E41" s="457">
        <v>3.48404282153989</v>
      </c>
      <c r="F41" s="457">
        <v>2.8265829449503732</v>
      </c>
      <c r="G41" s="457">
        <v>3.5890044661059495</v>
      </c>
      <c r="H41" s="457">
        <v>3.102173077275161</v>
      </c>
      <c r="I41" s="457">
        <v>3.0532250188662458</v>
      </c>
      <c r="J41" s="457">
        <v>3.382325068490788</v>
      </c>
      <c r="K41" s="457">
        <v>3.5625000000000018</v>
      </c>
      <c r="L41" s="457">
        <v>2.8436934218467158</v>
      </c>
      <c r="M41" s="457">
        <v>4.1295996369582699</v>
      </c>
      <c r="N41" s="457">
        <v>-0.23819005612868427</v>
      </c>
      <c r="O41" s="457">
        <v>2.0426301122241863</v>
      </c>
      <c r="P41" s="457">
        <v>3.0520659571012798</v>
      </c>
      <c r="Q41" s="457">
        <v>1.6098155089276034</v>
      </c>
      <c r="R41" s="458">
        <v>2.1203181126414616</v>
      </c>
      <c r="S41" s="458">
        <v>2.7404255728412208</v>
      </c>
      <c r="T41" s="458">
        <v>1.307883825155276</v>
      </c>
      <c r="U41" s="458">
        <v>2.0830822177705821</v>
      </c>
    </row>
    <row r="42" spans="1:21" s="459" customFormat="1" ht="13.5" customHeight="1">
      <c r="A42" s="455" t="s">
        <v>1077</v>
      </c>
      <c r="B42" s="456">
        <v>4.4469786007304544</v>
      </c>
      <c r="C42" s="457">
        <v>-0.26713266835495242</v>
      </c>
      <c r="D42" s="457">
        <v>0.46217575633913377</v>
      </c>
      <c r="E42" s="457">
        <v>0.89914373404171855</v>
      </c>
      <c r="F42" s="457">
        <v>2.4059583414543839</v>
      </c>
      <c r="G42" s="457">
        <v>2.1584821358926254</v>
      </c>
      <c r="H42" s="457">
        <v>1.9256553489238604</v>
      </c>
      <c r="I42" s="457">
        <v>0.37365982872177295</v>
      </c>
      <c r="J42" s="457">
        <v>0.45317085257616796</v>
      </c>
      <c r="K42" s="457">
        <v>1.3602146862768727</v>
      </c>
      <c r="L42" s="457">
        <v>2.2121688343673673</v>
      </c>
      <c r="M42" s="457">
        <v>3.4370491060287556</v>
      </c>
      <c r="N42" s="457">
        <v>-0.49446054437803921</v>
      </c>
      <c r="O42" s="457">
        <v>1.1579880271562759</v>
      </c>
      <c r="P42" s="457">
        <v>2.9611507382213853</v>
      </c>
      <c r="Q42" s="457">
        <v>1.4384561363321335</v>
      </c>
      <c r="R42" s="458">
        <v>1.6988636036173732</v>
      </c>
      <c r="S42" s="458">
        <v>2.6735686287312266</v>
      </c>
      <c r="T42" s="458">
        <v>1.3418934717741138</v>
      </c>
      <c r="U42" s="458">
        <v>1.9135425499999581</v>
      </c>
    </row>
    <row r="43" spans="1:21" s="459" customFormat="1" ht="11.25" customHeight="1">
      <c r="A43" s="455" t="s">
        <v>438</v>
      </c>
      <c r="B43" s="456">
        <v>2.7445722366134975</v>
      </c>
      <c r="C43" s="457">
        <v>1.7951645447844555E-2</v>
      </c>
      <c r="D43" s="457">
        <v>0.8064483044380566</v>
      </c>
      <c r="E43" s="457">
        <v>1.5585290300692778</v>
      </c>
      <c r="F43" s="457">
        <v>0.9890191155475625</v>
      </c>
      <c r="G43" s="457">
        <v>0.64269538329235765</v>
      </c>
      <c r="H43" s="457">
        <v>0.63831341030740063</v>
      </c>
      <c r="I43" s="457">
        <v>0.80286549937225171</v>
      </c>
      <c r="J43" s="457">
        <v>1.1719707461319118</v>
      </c>
      <c r="K43" s="457">
        <v>1.0595045785680268</v>
      </c>
      <c r="L43" s="457">
        <v>0.73234950694074374</v>
      </c>
      <c r="M43" s="457">
        <v>2.4260528734486808</v>
      </c>
      <c r="N43" s="457">
        <v>-0.48047661833685584</v>
      </c>
      <c r="O43" s="457">
        <v>0.6882270939915891</v>
      </c>
      <c r="P43" s="457">
        <v>0.23135045595765735</v>
      </c>
      <c r="Q43" s="457">
        <v>-0.53121621326529533</v>
      </c>
      <c r="R43" s="458">
        <v>0.11820540697877746</v>
      </c>
      <c r="S43" s="458">
        <v>-0.43054746647460673</v>
      </c>
      <c r="T43" s="458">
        <v>1.5510642548322018E-2</v>
      </c>
      <c r="U43" s="458">
        <v>0.22991104858693934</v>
      </c>
    </row>
    <row r="44" spans="1:21" s="461" customFormat="1" ht="11.25" customHeight="1">
      <c r="A44" s="460" t="s">
        <v>430</v>
      </c>
      <c r="B44" s="456">
        <v>74.994359489400338</v>
      </c>
      <c r="C44" s="457">
        <v>84.641335697086788</v>
      </c>
      <c r="D44" s="457">
        <v>64.867479202940586</v>
      </c>
      <c r="E44" s="457">
        <v>54.915382408928572</v>
      </c>
      <c r="F44" s="457">
        <v>54.40018403651554</v>
      </c>
      <c r="G44" s="457">
        <v>44.964123547998483</v>
      </c>
      <c r="H44" s="457">
        <v>21.602437040617172</v>
      </c>
      <c r="I44" s="457">
        <v>8.5982616811526533</v>
      </c>
      <c r="J44" s="457">
        <v>8.1791603680200211</v>
      </c>
      <c r="K44" s="457">
        <v>9.5972421228843974</v>
      </c>
      <c r="L44" s="457">
        <v>8.7561809097263854</v>
      </c>
      <c r="M44" s="457">
        <v>10.444128376488493</v>
      </c>
      <c r="N44" s="457">
        <v>6.2509766309062798</v>
      </c>
      <c r="O44" s="457">
        <v>8.5664442055297663</v>
      </c>
      <c r="P44" s="457">
        <v>6.4718796711509707</v>
      </c>
      <c r="Q44" s="457">
        <v>9.2405798003553965</v>
      </c>
      <c r="R44" s="458">
        <v>7.2138919967450921</v>
      </c>
      <c r="S44" s="458" t="s">
        <v>1070</v>
      </c>
      <c r="T44" s="458" t="s">
        <v>1070</v>
      </c>
      <c r="U44" s="458" t="s">
        <v>1070</v>
      </c>
    </row>
    <row r="45" spans="1:21" s="461" customFormat="1" ht="11.25" customHeight="1">
      <c r="A45" s="460" t="s">
        <v>1078</v>
      </c>
      <c r="B45" s="456" t="s">
        <v>1067</v>
      </c>
      <c r="C45" s="457">
        <v>1.588923991823088</v>
      </c>
      <c r="D45" s="457">
        <v>1.3354065672734006</v>
      </c>
      <c r="E45" s="457">
        <v>0.78526942864878269</v>
      </c>
      <c r="F45" s="457">
        <v>1.2358946802794257</v>
      </c>
      <c r="G45" s="457">
        <v>1.2561924982307016</v>
      </c>
      <c r="H45" s="457">
        <v>1.3629215446444132</v>
      </c>
      <c r="I45" s="457">
        <v>1.3445957593518409</v>
      </c>
      <c r="J45" s="457">
        <v>2.0496683109372249</v>
      </c>
      <c r="K45" s="457">
        <v>2.3335277939828369</v>
      </c>
      <c r="L45" s="457">
        <v>2.3210359149767879</v>
      </c>
      <c r="M45" s="457">
        <v>3.6134988857051908</v>
      </c>
      <c r="N45" s="457">
        <v>2.1662313719465143</v>
      </c>
      <c r="O45" s="457">
        <v>3.285714285714314</v>
      </c>
      <c r="P45" s="457">
        <v>4.4842396447550614</v>
      </c>
      <c r="Q45" s="457">
        <v>2.5689387285687593</v>
      </c>
      <c r="R45" s="458">
        <v>1.8628401907730074</v>
      </c>
      <c r="S45" s="458">
        <v>4.7048411234931198</v>
      </c>
      <c r="T45" s="458">
        <v>1.825158892274148</v>
      </c>
      <c r="U45" s="458">
        <v>1.8121864910062291</v>
      </c>
    </row>
    <row r="46" spans="1:21" s="466" customFormat="1" ht="11.25" customHeight="1">
      <c r="A46" s="462" t="s">
        <v>425</v>
      </c>
      <c r="B46" s="463">
        <v>3.5166153332645709</v>
      </c>
      <c r="C46" s="464">
        <v>1.5470072159061266</v>
      </c>
      <c r="D46" s="464">
        <v>2.1931394100506152</v>
      </c>
      <c r="E46" s="464">
        <v>3.3666833416708286</v>
      </c>
      <c r="F46" s="464">
        <v>2.8166287567149118</v>
      </c>
      <c r="G46" s="464">
        <v>1.5956695693104095</v>
      </c>
      <c r="H46" s="464">
        <v>2.2979985174203188</v>
      </c>
      <c r="I46" s="464">
        <v>2.6675724637680975</v>
      </c>
      <c r="J46" s="464">
        <v>3.3658299880894749</v>
      </c>
      <c r="K46" s="464">
        <v>3.2220894503243391</v>
      </c>
      <c r="L46" s="464">
        <v>2.8705502956133389</v>
      </c>
      <c r="M46" s="464">
        <v>3.8153954978236584</v>
      </c>
      <c r="N46" s="464">
        <v>-0.32066593833208756</v>
      </c>
      <c r="O46" s="464">
        <v>1.6404514717573759</v>
      </c>
      <c r="P46" s="464">
        <v>3.1418596058031101</v>
      </c>
      <c r="Q46" s="464">
        <v>2.2630909997416238</v>
      </c>
      <c r="R46" s="465">
        <v>1.8520383173227017</v>
      </c>
      <c r="S46" s="465">
        <v>3.3353822804021993</v>
      </c>
      <c r="T46" s="465">
        <v>2.0697005667886348</v>
      </c>
      <c r="U46" s="465">
        <v>1.8276109525503514</v>
      </c>
    </row>
    <row r="47" spans="1:21" s="459" customFormat="1" ht="15" customHeight="1">
      <c r="A47" s="467" t="s">
        <v>1071</v>
      </c>
      <c r="B47" s="468" t="s">
        <v>1067</v>
      </c>
      <c r="C47" s="469">
        <v>1.2096600953983794</v>
      </c>
      <c r="D47" s="469">
        <v>1.1578487425480066</v>
      </c>
      <c r="E47" s="469">
        <v>2.1804664392803597</v>
      </c>
      <c r="F47" s="469">
        <v>2.3976398715394032</v>
      </c>
      <c r="G47" s="469">
        <v>2.2772245899480792</v>
      </c>
      <c r="H47" s="469">
        <v>2.0982061368411298</v>
      </c>
      <c r="I47" s="469">
        <v>2.1800891289594837</v>
      </c>
      <c r="J47" s="469">
        <v>2.1798612739075462</v>
      </c>
      <c r="K47" s="469">
        <v>2.1971431578827527</v>
      </c>
      <c r="L47" s="469">
        <v>2.1402040353261764</v>
      </c>
      <c r="M47" s="469">
        <v>3.2813864287611016</v>
      </c>
      <c r="N47" s="469">
        <v>0.29125434990686649</v>
      </c>
      <c r="O47" s="469">
        <v>1.6233824760476523</v>
      </c>
      <c r="P47" s="469">
        <v>2.71668162698111</v>
      </c>
      <c r="Q47" s="469">
        <v>2.4307609066377411</v>
      </c>
      <c r="R47" s="470">
        <v>1.8862122050873342</v>
      </c>
      <c r="S47" s="470">
        <v>2.9438362708887889</v>
      </c>
      <c r="T47" s="470">
        <v>2.18108041782068</v>
      </c>
      <c r="U47" s="470">
        <v>1.5982630250428898</v>
      </c>
    </row>
    <row r="48" spans="1:21" s="474" customFormat="1" ht="6" customHeight="1">
      <c r="A48" s="471"/>
      <c r="B48" s="472"/>
      <c r="C48" s="473"/>
      <c r="D48" s="473"/>
      <c r="E48" s="473"/>
      <c r="F48" s="473"/>
      <c r="G48" s="473"/>
      <c r="H48" s="473"/>
      <c r="I48" s="473"/>
      <c r="J48" s="473"/>
      <c r="K48" s="473"/>
      <c r="L48" s="473"/>
      <c r="M48" s="473"/>
      <c r="N48" s="473"/>
      <c r="O48" s="473"/>
      <c r="P48" s="473"/>
      <c r="Q48" s="473"/>
      <c r="R48" s="473"/>
      <c r="S48" s="473"/>
      <c r="T48" s="473"/>
      <c r="U48" s="473"/>
    </row>
    <row r="49" spans="1:62" s="476" customFormat="1" ht="9" customHeight="1">
      <c r="A49" s="1378" t="s">
        <v>1079</v>
      </c>
      <c r="B49" s="1379"/>
      <c r="C49" s="1379"/>
      <c r="D49" s="1379"/>
      <c r="E49" s="1379"/>
      <c r="F49" s="1379"/>
      <c r="G49" s="1379"/>
      <c r="H49" s="1379"/>
      <c r="I49" s="1379"/>
      <c r="J49" s="1379"/>
      <c r="K49" s="1379"/>
      <c r="L49" s="1379"/>
      <c r="M49" s="1379"/>
      <c r="N49" s="1379"/>
      <c r="O49" s="1379"/>
      <c r="P49" s="1379"/>
      <c r="Q49" s="1379"/>
      <c r="R49" s="1379"/>
      <c r="S49" s="1379"/>
      <c r="T49" s="1379"/>
      <c r="U49" s="1379"/>
    </row>
    <row r="50" spans="1:62" s="476" customFormat="1" ht="9" customHeight="1">
      <c r="A50" s="477" t="s">
        <v>1072</v>
      </c>
      <c r="B50" s="475"/>
      <c r="C50" s="475"/>
      <c r="D50" s="475"/>
      <c r="E50" s="475"/>
      <c r="F50" s="475"/>
      <c r="G50" s="475"/>
      <c r="H50" s="475"/>
      <c r="I50" s="475"/>
      <c r="J50" s="475"/>
      <c r="K50" s="475"/>
      <c r="L50" s="475"/>
      <c r="M50" s="475"/>
      <c r="N50" s="475"/>
      <c r="O50" s="475"/>
      <c r="P50" s="475"/>
      <c r="Q50" s="475"/>
      <c r="R50" s="475"/>
      <c r="S50" s="475"/>
      <c r="T50" s="475"/>
      <c r="U50" s="475"/>
    </row>
    <row r="51" spans="1:62" s="476" customFormat="1" ht="9" customHeight="1">
      <c r="A51" s="477" t="s">
        <v>1073</v>
      </c>
      <c r="B51" s="475"/>
      <c r="C51" s="475"/>
      <c r="D51" s="475"/>
      <c r="E51" s="475"/>
      <c r="F51" s="475"/>
      <c r="G51" s="475"/>
      <c r="H51" s="475"/>
      <c r="I51" s="475"/>
      <c r="J51" s="475"/>
      <c r="K51" s="475"/>
      <c r="L51" s="475"/>
      <c r="M51" s="475"/>
      <c r="N51" s="475"/>
      <c r="O51" s="475"/>
      <c r="P51" s="475"/>
      <c r="Q51" s="475"/>
      <c r="R51" s="475"/>
      <c r="S51" s="475"/>
      <c r="T51" s="475"/>
      <c r="U51" s="475"/>
    </row>
    <row r="52" spans="1:62" s="476" customFormat="1" ht="9" customHeight="1">
      <c r="A52" s="477" t="s">
        <v>1074</v>
      </c>
      <c r="B52" s="475"/>
      <c r="C52" s="475"/>
      <c r="D52" s="475"/>
      <c r="E52" s="475"/>
      <c r="F52" s="475"/>
      <c r="G52" s="475"/>
      <c r="H52" s="475"/>
      <c r="I52" s="475"/>
      <c r="J52" s="475"/>
      <c r="K52" s="475"/>
      <c r="L52" s="475"/>
      <c r="M52" s="475"/>
      <c r="N52" s="475"/>
      <c r="O52" s="475"/>
      <c r="P52" s="475"/>
      <c r="Q52" s="475"/>
      <c r="R52" s="475"/>
      <c r="S52" s="475"/>
      <c r="T52" s="475"/>
      <c r="U52" s="475"/>
    </row>
    <row r="53" spans="1:62" s="480" customFormat="1" ht="10.5" customHeight="1">
      <c r="A53" s="478" t="s">
        <v>1080</v>
      </c>
      <c r="B53" s="479"/>
      <c r="C53" s="479"/>
      <c r="D53" s="479"/>
      <c r="E53" s="479"/>
      <c r="F53" s="479"/>
      <c r="G53" s="479"/>
      <c r="H53" s="479"/>
      <c r="I53" s="479"/>
      <c r="J53" s="479"/>
      <c r="K53" s="479"/>
      <c r="L53" s="479"/>
      <c r="M53" s="479"/>
      <c r="N53" s="479"/>
      <c r="O53" s="479"/>
      <c r="P53" s="479"/>
      <c r="Q53" s="479"/>
      <c r="R53" s="479"/>
      <c r="S53" s="479"/>
      <c r="T53" s="479"/>
      <c r="U53" s="479"/>
    </row>
    <row r="54" spans="1:62" s="480" customFormat="1" ht="19.5" customHeight="1">
      <c r="A54" s="1375" t="s">
        <v>1075</v>
      </c>
      <c r="B54" s="1376"/>
      <c r="C54" s="1376"/>
      <c r="D54" s="1376"/>
      <c r="E54" s="1376"/>
      <c r="F54" s="1376"/>
      <c r="G54" s="1376"/>
      <c r="H54" s="1376"/>
      <c r="I54" s="1376"/>
      <c r="J54" s="1376"/>
      <c r="K54" s="1376"/>
      <c r="L54" s="1376"/>
      <c r="M54" s="1376"/>
      <c r="N54" s="1376"/>
      <c r="O54" s="1376"/>
      <c r="P54" s="1376"/>
      <c r="Q54" s="1376"/>
      <c r="R54" s="1376"/>
      <c r="S54" s="1376"/>
      <c r="T54" s="1376"/>
      <c r="U54" s="1376"/>
    </row>
    <row r="55" spans="1:62">
      <c r="A55" s="439"/>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439"/>
      <c r="BJ55" s="439"/>
    </row>
    <row r="56" spans="1:62">
      <c r="A56" s="439"/>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39"/>
      <c r="BD56" s="439"/>
      <c r="BE56" s="439"/>
      <c r="BF56" s="439"/>
      <c r="BG56" s="439"/>
      <c r="BH56" s="439"/>
      <c r="BI56" s="439"/>
      <c r="BJ56" s="439"/>
    </row>
    <row r="57" spans="1:62">
      <c r="A57" s="439"/>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39"/>
      <c r="BD57" s="439"/>
      <c r="BE57" s="439"/>
      <c r="BF57" s="439"/>
      <c r="BG57" s="439"/>
      <c r="BH57" s="439"/>
      <c r="BI57" s="439"/>
      <c r="BJ57" s="439"/>
    </row>
    <row r="58" spans="1:62">
      <c r="A58" s="439"/>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39"/>
      <c r="BD58" s="439"/>
      <c r="BE58" s="439"/>
      <c r="BF58" s="439"/>
      <c r="BG58" s="439"/>
      <c r="BH58" s="439"/>
      <c r="BI58" s="439"/>
      <c r="BJ58" s="439"/>
    </row>
    <row r="59" spans="1:62">
      <c r="A59" s="439"/>
      <c r="B59" s="439"/>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c r="AU59" s="439"/>
      <c r="AV59" s="439"/>
      <c r="AW59" s="439"/>
      <c r="AX59" s="439"/>
      <c r="AY59" s="439"/>
      <c r="AZ59" s="439"/>
      <c r="BA59" s="439"/>
      <c r="BB59" s="439"/>
      <c r="BC59" s="439"/>
      <c r="BD59" s="439"/>
      <c r="BE59" s="439"/>
      <c r="BF59" s="439"/>
      <c r="BG59" s="439"/>
      <c r="BH59" s="439"/>
      <c r="BI59" s="439"/>
      <c r="BJ59" s="439"/>
    </row>
    <row r="60" spans="1:62">
      <c r="A60" s="439"/>
      <c r="B60" s="439"/>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439"/>
      <c r="BD60" s="439"/>
      <c r="BE60" s="439"/>
      <c r="BF60" s="439"/>
      <c r="BG60" s="439"/>
      <c r="BH60" s="439"/>
      <c r="BI60" s="439"/>
      <c r="BJ60" s="439"/>
    </row>
    <row r="61" spans="1:62">
      <c r="A61" s="439"/>
      <c r="B61" s="439"/>
      <c r="C61" s="439"/>
      <c r="D61" s="439"/>
      <c r="E61" s="439"/>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c r="BF61" s="439"/>
      <c r="BG61" s="439"/>
      <c r="BH61" s="439"/>
      <c r="BI61" s="439"/>
      <c r="BJ61" s="439"/>
    </row>
    <row r="62" spans="1:62">
      <c r="A62" s="439"/>
      <c r="B62" s="439"/>
      <c r="C62" s="439"/>
      <c r="D62" s="439"/>
      <c r="E62" s="439"/>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439"/>
      <c r="AS62" s="439"/>
      <c r="AT62" s="439"/>
      <c r="AU62" s="439"/>
      <c r="AV62" s="439"/>
      <c r="AW62" s="439"/>
      <c r="AX62" s="439"/>
      <c r="AY62" s="439"/>
      <c r="AZ62" s="439"/>
      <c r="BA62" s="439"/>
      <c r="BB62" s="439"/>
      <c r="BC62" s="439"/>
      <c r="BD62" s="439"/>
      <c r="BE62" s="439"/>
      <c r="BF62" s="439"/>
      <c r="BG62" s="439"/>
      <c r="BH62" s="439"/>
      <c r="BI62" s="439"/>
      <c r="BJ62" s="439"/>
    </row>
    <row r="63" spans="1:62">
      <c r="A63" s="439"/>
      <c r="B63" s="439"/>
      <c r="C63" s="439"/>
      <c r="D63" s="439"/>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39"/>
      <c r="BD63" s="439"/>
      <c r="BE63" s="439"/>
      <c r="BF63" s="439"/>
      <c r="BG63" s="439"/>
      <c r="BH63" s="439"/>
      <c r="BI63" s="439"/>
      <c r="BJ63" s="439"/>
    </row>
    <row r="64" spans="1:62">
      <c r="A64" s="439"/>
      <c r="B64" s="439"/>
      <c r="C64" s="439"/>
      <c r="D64" s="439"/>
      <c r="E64" s="439"/>
      <c r="F64" s="439"/>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39"/>
      <c r="AN64" s="439"/>
      <c r="AO64" s="439"/>
      <c r="AP64" s="439"/>
      <c r="AQ64" s="439"/>
      <c r="AR64" s="439"/>
      <c r="AS64" s="439"/>
      <c r="AT64" s="439"/>
      <c r="AU64" s="439"/>
      <c r="AV64" s="439"/>
      <c r="AW64" s="439"/>
      <c r="AX64" s="439"/>
      <c r="AY64" s="439"/>
      <c r="AZ64" s="439"/>
      <c r="BA64" s="439"/>
      <c r="BB64" s="439"/>
      <c r="BC64" s="439"/>
      <c r="BD64" s="439"/>
      <c r="BE64" s="439"/>
      <c r="BF64" s="439"/>
      <c r="BG64" s="439"/>
      <c r="BH64" s="439"/>
      <c r="BI64" s="439"/>
      <c r="BJ64" s="439"/>
    </row>
    <row r="65" spans="1:62">
      <c r="A65" s="439"/>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39"/>
      <c r="BD65" s="439"/>
      <c r="BE65" s="439"/>
      <c r="BF65" s="439"/>
      <c r="BG65" s="439"/>
      <c r="BH65" s="439"/>
      <c r="BI65" s="439"/>
      <c r="BJ65" s="439"/>
    </row>
    <row r="66" spans="1:62">
      <c r="A66" s="439"/>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39"/>
      <c r="AZ66" s="439"/>
      <c r="BA66" s="439"/>
      <c r="BB66" s="439"/>
      <c r="BC66" s="439"/>
      <c r="BD66" s="439"/>
      <c r="BE66" s="439"/>
      <c r="BF66" s="439"/>
      <c r="BG66" s="439"/>
      <c r="BH66" s="439"/>
      <c r="BI66" s="439"/>
      <c r="BJ66" s="439"/>
    </row>
    <row r="67" spans="1:62">
      <c r="A67" s="439"/>
      <c r="B67" s="439"/>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39"/>
      <c r="AZ67" s="439"/>
      <c r="BA67" s="439"/>
      <c r="BB67" s="439"/>
      <c r="BC67" s="439"/>
      <c r="BD67" s="439"/>
      <c r="BE67" s="439"/>
      <c r="BF67" s="439"/>
      <c r="BG67" s="439"/>
      <c r="BH67" s="439"/>
      <c r="BI67" s="439"/>
      <c r="BJ67" s="439"/>
    </row>
    <row r="68" spans="1:62">
      <c r="A68" s="439"/>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439"/>
      <c r="AY68" s="439"/>
      <c r="AZ68" s="439"/>
      <c r="BA68" s="439"/>
      <c r="BB68" s="439"/>
      <c r="BC68" s="439"/>
      <c r="BD68" s="439"/>
      <c r="BE68" s="439"/>
      <c r="BF68" s="439"/>
      <c r="BG68" s="439"/>
      <c r="BH68" s="439"/>
      <c r="BI68" s="439"/>
      <c r="BJ68" s="439"/>
    </row>
    <row r="69" spans="1:62">
      <c r="A69" s="439"/>
      <c r="B69" s="439"/>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39"/>
      <c r="AY69" s="439"/>
      <c r="AZ69" s="439"/>
      <c r="BA69" s="439"/>
      <c r="BB69" s="439"/>
      <c r="BC69" s="439"/>
      <c r="BD69" s="439"/>
      <c r="BE69" s="439"/>
      <c r="BF69" s="439"/>
      <c r="BG69" s="439"/>
      <c r="BH69" s="439"/>
      <c r="BI69" s="439"/>
      <c r="BJ69" s="439"/>
    </row>
    <row r="70" spans="1:62">
      <c r="A70" s="439"/>
      <c r="B70" s="439"/>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39"/>
      <c r="AY70" s="439"/>
      <c r="AZ70" s="439"/>
      <c r="BA70" s="439"/>
      <c r="BB70" s="439"/>
      <c r="BC70" s="439"/>
      <c r="BD70" s="439"/>
      <c r="BE70" s="439"/>
      <c r="BF70" s="439"/>
      <c r="BG70" s="439"/>
      <c r="BH70" s="439"/>
      <c r="BI70" s="439"/>
      <c r="BJ70" s="439"/>
    </row>
    <row r="71" spans="1:62">
      <c r="A71" s="43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39"/>
      <c r="BD71" s="439"/>
      <c r="BE71" s="439"/>
      <c r="BF71" s="439"/>
      <c r="BG71" s="439"/>
      <c r="BH71" s="439"/>
      <c r="BI71" s="439"/>
      <c r="BJ71" s="439"/>
    </row>
    <row r="72" spans="1:62">
      <c r="A72" s="439"/>
      <c r="B72" s="439"/>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39"/>
      <c r="BD72" s="439"/>
      <c r="BE72" s="439"/>
      <c r="BF72" s="439"/>
      <c r="BG72" s="439"/>
      <c r="BH72" s="439"/>
      <c r="BI72" s="439"/>
      <c r="BJ72" s="439"/>
    </row>
    <row r="73" spans="1:62">
      <c r="A73" s="439"/>
      <c r="B73" s="439"/>
      <c r="C73" s="439"/>
      <c r="D73" s="439"/>
      <c r="E73" s="439"/>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39"/>
      <c r="BD73" s="439"/>
      <c r="BE73" s="439"/>
      <c r="BF73" s="439"/>
      <c r="BG73" s="439"/>
      <c r="BH73" s="439"/>
      <c r="BI73" s="439"/>
      <c r="BJ73" s="439"/>
    </row>
    <row r="74" spans="1:62">
      <c r="A74" s="439"/>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39"/>
      <c r="BD74" s="439"/>
      <c r="BE74" s="439"/>
      <c r="BF74" s="439"/>
      <c r="BG74" s="439"/>
      <c r="BH74" s="439"/>
      <c r="BI74" s="439"/>
      <c r="BJ74" s="439"/>
    </row>
    <row r="75" spans="1:62">
      <c r="A75" s="439"/>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39"/>
      <c r="AY75" s="439"/>
      <c r="AZ75" s="439"/>
      <c r="BA75" s="439"/>
      <c r="BB75" s="439"/>
      <c r="BC75" s="439"/>
      <c r="BD75" s="439"/>
      <c r="BE75" s="439"/>
      <c r="BF75" s="439"/>
      <c r="BG75" s="439"/>
      <c r="BH75" s="439"/>
      <c r="BI75" s="439"/>
      <c r="BJ75" s="439"/>
    </row>
    <row r="76" spans="1:62">
      <c r="A76" s="439"/>
      <c r="B76" s="439"/>
      <c r="C76" s="439"/>
      <c r="D76" s="439"/>
      <c r="E76" s="439"/>
      <c r="F76" s="439"/>
      <c r="G76" s="439"/>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39"/>
      <c r="AY76" s="439"/>
      <c r="AZ76" s="439"/>
      <c r="BA76" s="439"/>
      <c r="BB76" s="439"/>
      <c r="BC76" s="439"/>
      <c r="BD76" s="439"/>
      <c r="BE76" s="439"/>
      <c r="BF76" s="439"/>
      <c r="BG76" s="439"/>
      <c r="BH76" s="439"/>
      <c r="BI76" s="439"/>
      <c r="BJ76" s="439"/>
    </row>
    <row r="77" spans="1:62">
      <c r="A77" s="439"/>
      <c r="B77" s="439"/>
      <c r="C77" s="439"/>
      <c r="D77" s="439"/>
      <c r="E77" s="439"/>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39"/>
      <c r="AY77" s="439"/>
      <c r="AZ77" s="439"/>
      <c r="BA77" s="439"/>
      <c r="BB77" s="439"/>
      <c r="BC77" s="439"/>
      <c r="BD77" s="439"/>
      <c r="BE77" s="439"/>
      <c r="BF77" s="439"/>
      <c r="BG77" s="439"/>
      <c r="BH77" s="439"/>
      <c r="BI77" s="439"/>
      <c r="BJ77" s="439"/>
    </row>
    <row r="78" spans="1:62">
      <c r="A78" s="439"/>
      <c r="B78" s="439"/>
      <c r="C78" s="439"/>
      <c r="D78" s="439"/>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39"/>
      <c r="AY78" s="439"/>
      <c r="AZ78" s="439"/>
      <c r="BA78" s="439"/>
      <c r="BB78" s="439"/>
      <c r="BC78" s="439"/>
      <c r="BD78" s="439"/>
      <c r="BE78" s="439"/>
      <c r="BF78" s="439"/>
      <c r="BG78" s="439"/>
      <c r="BH78" s="439"/>
      <c r="BI78" s="439"/>
      <c r="BJ78" s="439"/>
    </row>
    <row r="79" spans="1:62">
      <c r="A79" s="439"/>
      <c r="B79" s="439"/>
      <c r="C79" s="439"/>
      <c r="D79" s="439"/>
      <c r="E79" s="439"/>
      <c r="F79" s="439"/>
      <c r="G79" s="439"/>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39"/>
      <c r="AY79" s="439"/>
      <c r="AZ79" s="439"/>
      <c r="BA79" s="439"/>
      <c r="BB79" s="439"/>
      <c r="BC79" s="439"/>
      <c r="BD79" s="439"/>
      <c r="BE79" s="439"/>
      <c r="BF79" s="439"/>
      <c r="BG79" s="439"/>
      <c r="BH79" s="439"/>
      <c r="BI79" s="439"/>
      <c r="BJ79" s="439"/>
    </row>
    <row r="80" spans="1:62">
      <c r="A80" s="439"/>
      <c r="B80" s="439"/>
      <c r="C80" s="439"/>
      <c r="D80" s="439"/>
      <c r="E80" s="439"/>
      <c r="F80" s="439"/>
      <c r="G80" s="439"/>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39"/>
      <c r="AY80" s="439"/>
      <c r="AZ80" s="439"/>
      <c r="BA80" s="439"/>
      <c r="BB80" s="439"/>
      <c r="BC80" s="439"/>
      <c r="BD80" s="439"/>
      <c r="BE80" s="439"/>
      <c r="BF80" s="439"/>
      <c r="BG80" s="439"/>
      <c r="BH80" s="439"/>
      <c r="BI80" s="439"/>
      <c r="BJ80" s="439"/>
    </row>
    <row r="81" spans="1:62">
      <c r="A81" s="439"/>
      <c r="B81" s="439"/>
      <c r="C81" s="439"/>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39"/>
      <c r="AY81" s="439"/>
      <c r="AZ81" s="439"/>
      <c r="BA81" s="439"/>
      <c r="BB81" s="439"/>
      <c r="BC81" s="439"/>
      <c r="BD81" s="439"/>
      <c r="BE81" s="439"/>
      <c r="BF81" s="439"/>
      <c r="BG81" s="439"/>
      <c r="BH81" s="439"/>
      <c r="BI81" s="439"/>
      <c r="BJ81" s="439"/>
    </row>
    <row r="82" spans="1:62">
      <c r="A82" s="439"/>
      <c r="B82" s="439"/>
      <c r="C82" s="439"/>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39"/>
      <c r="AN82" s="439"/>
      <c r="AO82" s="439"/>
      <c r="AP82" s="439"/>
      <c r="AQ82" s="439"/>
      <c r="AR82" s="439"/>
      <c r="AS82" s="439"/>
      <c r="AT82" s="439"/>
      <c r="AU82" s="439"/>
      <c r="AV82" s="439"/>
      <c r="AW82" s="439"/>
      <c r="AX82" s="439"/>
      <c r="AY82" s="439"/>
      <c r="AZ82" s="439"/>
      <c r="BA82" s="439"/>
      <c r="BB82" s="439"/>
      <c r="BC82" s="439"/>
      <c r="BD82" s="439"/>
      <c r="BE82" s="439"/>
      <c r="BF82" s="439"/>
      <c r="BG82" s="439"/>
      <c r="BH82" s="439"/>
      <c r="BI82" s="439"/>
      <c r="BJ82" s="439"/>
    </row>
    <row r="83" spans="1:62">
      <c r="A83" s="439"/>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39"/>
      <c r="AY83" s="439"/>
      <c r="AZ83" s="439"/>
      <c r="BA83" s="439"/>
      <c r="BB83" s="439"/>
      <c r="BC83" s="439"/>
      <c r="BD83" s="439"/>
      <c r="BE83" s="439"/>
      <c r="BF83" s="439"/>
      <c r="BG83" s="439"/>
      <c r="BH83" s="439"/>
      <c r="BI83" s="439"/>
      <c r="BJ83" s="439"/>
    </row>
    <row r="84" spans="1:62">
      <c r="A84" s="439"/>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39"/>
      <c r="AY84" s="439"/>
      <c r="AZ84" s="439"/>
      <c r="BA84" s="439"/>
      <c r="BB84" s="439"/>
      <c r="BC84" s="439"/>
      <c r="BD84" s="439"/>
      <c r="BE84" s="439"/>
      <c r="BF84" s="439"/>
      <c r="BG84" s="439"/>
      <c r="BH84" s="439"/>
      <c r="BI84" s="439"/>
      <c r="BJ84" s="439"/>
    </row>
    <row r="85" spans="1:62">
      <c r="A85" s="439"/>
      <c r="B85" s="439"/>
      <c r="C85" s="439"/>
      <c r="D85" s="439"/>
      <c r="E85" s="439"/>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39"/>
      <c r="AY85" s="439"/>
      <c r="AZ85" s="439"/>
      <c r="BA85" s="439"/>
      <c r="BB85" s="439"/>
      <c r="BC85" s="439"/>
      <c r="BD85" s="439"/>
      <c r="BE85" s="439"/>
      <c r="BF85" s="439"/>
      <c r="BG85" s="439"/>
      <c r="BH85" s="439"/>
      <c r="BI85" s="439"/>
      <c r="BJ85" s="439"/>
    </row>
    <row r="86" spans="1:62">
      <c r="A86" s="439"/>
      <c r="B86" s="439"/>
      <c r="C86" s="439"/>
      <c r="D86" s="439"/>
      <c r="E86" s="439"/>
      <c r="F86" s="439"/>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39"/>
      <c r="AY86" s="439"/>
      <c r="AZ86" s="439"/>
      <c r="BA86" s="439"/>
      <c r="BB86" s="439"/>
      <c r="BC86" s="439"/>
      <c r="BD86" s="439"/>
      <c r="BE86" s="439"/>
      <c r="BF86" s="439"/>
      <c r="BG86" s="439"/>
      <c r="BH86" s="439"/>
      <c r="BI86" s="439"/>
      <c r="BJ86" s="439"/>
    </row>
    <row r="87" spans="1:62">
      <c r="A87" s="439"/>
      <c r="B87" s="439"/>
      <c r="C87" s="439"/>
      <c r="D87" s="439"/>
      <c r="E87" s="439"/>
      <c r="F87" s="439"/>
      <c r="G87" s="439"/>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39"/>
      <c r="BB87" s="439"/>
      <c r="BC87" s="439"/>
      <c r="BD87" s="439"/>
      <c r="BE87" s="439"/>
      <c r="BF87" s="439"/>
      <c r="BG87" s="439"/>
      <c r="BH87" s="439"/>
      <c r="BI87" s="439"/>
      <c r="BJ87" s="439"/>
    </row>
    <row r="88" spans="1:62">
      <c r="A88" s="439"/>
      <c r="B88" s="439"/>
      <c r="C88" s="439"/>
      <c r="D88" s="439"/>
      <c r="E88" s="439"/>
      <c r="F88" s="439"/>
      <c r="G88" s="439"/>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39"/>
      <c r="AY88" s="439"/>
      <c r="AZ88" s="439"/>
      <c r="BA88" s="439"/>
      <c r="BB88" s="439"/>
      <c r="BC88" s="439"/>
      <c r="BD88" s="439"/>
      <c r="BE88" s="439"/>
      <c r="BF88" s="439"/>
      <c r="BG88" s="439"/>
      <c r="BH88" s="439"/>
      <c r="BI88" s="439"/>
      <c r="BJ88" s="439"/>
    </row>
    <row r="89" spans="1:62">
      <c r="A89" s="439"/>
      <c r="B89" s="439"/>
      <c r="C89" s="439"/>
      <c r="D89" s="439"/>
      <c r="E89" s="439"/>
      <c r="F89" s="439"/>
      <c r="G89" s="439"/>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39"/>
      <c r="AY89" s="439"/>
      <c r="AZ89" s="439"/>
      <c r="BA89" s="439"/>
      <c r="BB89" s="439"/>
      <c r="BC89" s="439"/>
      <c r="BD89" s="439"/>
      <c r="BE89" s="439"/>
      <c r="BF89" s="439"/>
      <c r="BG89" s="439"/>
      <c r="BH89" s="439"/>
      <c r="BI89" s="439"/>
      <c r="BJ89" s="439"/>
    </row>
    <row r="90" spans="1:62">
      <c r="A90" s="439"/>
      <c r="B90" s="439"/>
      <c r="C90" s="439"/>
      <c r="D90" s="439"/>
      <c r="E90" s="439"/>
      <c r="F90" s="439"/>
      <c r="G90" s="439"/>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39"/>
      <c r="AY90" s="439"/>
      <c r="AZ90" s="439"/>
      <c r="BA90" s="439"/>
      <c r="BB90" s="439"/>
      <c r="BC90" s="439"/>
      <c r="BD90" s="439"/>
      <c r="BE90" s="439"/>
      <c r="BF90" s="439"/>
      <c r="BG90" s="439"/>
      <c r="BH90" s="439"/>
      <c r="BI90" s="439"/>
      <c r="BJ90" s="439"/>
    </row>
    <row r="91" spans="1:62">
      <c r="A91" s="439"/>
      <c r="B91" s="439"/>
      <c r="C91" s="439"/>
      <c r="D91" s="439"/>
      <c r="E91" s="439"/>
      <c r="F91" s="439"/>
      <c r="G91" s="439"/>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39"/>
      <c r="AY91" s="439"/>
      <c r="AZ91" s="439"/>
      <c r="BA91" s="439"/>
      <c r="BB91" s="439"/>
      <c r="BC91" s="439"/>
      <c r="BD91" s="439"/>
      <c r="BE91" s="439"/>
      <c r="BF91" s="439"/>
      <c r="BG91" s="439"/>
      <c r="BH91" s="439"/>
      <c r="BI91" s="439"/>
      <c r="BJ91" s="439"/>
    </row>
    <row r="92" spans="1:62">
      <c r="A92" s="439"/>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39"/>
      <c r="AY92" s="439"/>
      <c r="AZ92" s="439"/>
      <c r="BA92" s="439"/>
      <c r="BB92" s="439"/>
      <c r="BC92" s="439"/>
      <c r="BD92" s="439"/>
      <c r="BE92" s="439"/>
      <c r="BF92" s="439"/>
      <c r="BG92" s="439"/>
      <c r="BH92" s="439"/>
      <c r="BI92" s="439"/>
      <c r="BJ92" s="439"/>
    </row>
    <row r="93" spans="1:62">
      <c r="A93" s="439"/>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39"/>
      <c r="AY93" s="439"/>
      <c r="AZ93" s="439"/>
      <c r="BA93" s="439"/>
      <c r="BB93" s="439"/>
      <c r="BC93" s="439"/>
      <c r="BD93" s="439"/>
      <c r="BE93" s="439"/>
      <c r="BF93" s="439"/>
      <c r="BG93" s="439"/>
      <c r="BH93" s="439"/>
      <c r="BI93" s="439"/>
      <c r="BJ93" s="439"/>
    </row>
    <row r="94" spans="1:62">
      <c r="A94" s="439"/>
      <c r="B94" s="439"/>
      <c r="C94" s="439"/>
      <c r="D94" s="439"/>
      <c r="E94" s="439"/>
      <c r="F94" s="439"/>
      <c r="G94" s="439"/>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39"/>
      <c r="AY94" s="439"/>
      <c r="AZ94" s="439"/>
      <c r="BA94" s="439"/>
      <c r="BB94" s="439"/>
      <c r="BC94" s="439"/>
      <c r="BD94" s="439"/>
      <c r="BE94" s="439"/>
      <c r="BF94" s="439"/>
      <c r="BG94" s="439"/>
      <c r="BH94" s="439"/>
      <c r="BI94" s="439"/>
      <c r="BJ94" s="439"/>
    </row>
    <row r="95" spans="1:62">
      <c r="A95" s="439"/>
      <c r="B95" s="439"/>
      <c r="C95" s="439"/>
      <c r="D95" s="439"/>
      <c r="E95" s="439"/>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39"/>
      <c r="AY95" s="439"/>
      <c r="AZ95" s="439"/>
      <c r="BA95" s="439"/>
      <c r="BB95" s="439"/>
      <c r="BC95" s="439"/>
      <c r="BD95" s="439"/>
      <c r="BE95" s="439"/>
      <c r="BF95" s="439"/>
      <c r="BG95" s="439"/>
      <c r="BH95" s="439"/>
      <c r="BI95" s="439"/>
      <c r="BJ95" s="439"/>
    </row>
    <row r="96" spans="1:62">
      <c r="A96" s="439"/>
      <c r="B96" s="439"/>
      <c r="C96" s="439"/>
      <c r="D96" s="439"/>
      <c r="E96" s="439"/>
      <c r="F96" s="439"/>
      <c r="G96" s="439"/>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39"/>
      <c r="AY96" s="439"/>
      <c r="AZ96" s="439"/>
      <c r="BA96" s="439"/>
      <c r="BB96" s="439"/>
      <c r="BC96" s="439"/>
      <c r="BD96" s="439"/>
      <c r="BE96" s="439"/>
      <c r="BF96" s="439"/>
      <c r="BG96" s="439"/>
      <c r="BH96" s="439"/>
      <c r="BI96" s="439"/>
      <c r="BJ96" s="439"/>
    </row>
    <row r="97" spans="1:62">
      <c r="A97" s="439"/>
      <c r="B97" s="439"/>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39"/>
      <c r="AY97" s="439"/>
      <c r="AZ97" s="439"/>
      <c r="BA97" s="439"/>
      <c r="BB97" s="439"/>
      <c r="BC97" s="439"/>
      <c r="BD97" s="439"/>
      <c r="BE97" s="439"/>
      <c r="BF97" s="439"/>
      <c r="BG97" s="439"/>
      <c r="BH97" s="439"/>
      <c r="BI97" s="439"/>
      <c r="BJ97" s="439"/>
    </row>
    <row r="98" spans="1:62">
      <c r="A98" s="439"/>
      <c r="B98" s="439"/>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39"/>
      <c r="AY98" s="439"/>
      <c r="AZ98" s="439"/>
      <c r="BA98" s="439"/>
      <c r="BB98" s="439"/>
      <c r="BC98" s="439"/>
      <c r="BD98" s="439"/>
      <c r="BE98" s="439"/>
      <c r="BF98" s="439"/>
      <c r="BG98" s="439"/>
      <c r="BH98" s="439"/>
      <c r="BI98" s="439"/>
      <c r="BJ98" s="439"/>
    </row>
    <row r="99" spans="1:62">
      <c r="A99" s="439"/>
      <c r="B99" s="439"/>
      <c r="C99" s="439"/>
      <c r="D99" s="439"/>
      <c r="E99" s="439"/>
      <c r="F99" s="439"/>
      <c r="G99" s="439"/>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39"/>
      <c r="AY99" s="439"/>
      <c r="AZ99" s="439"/>
      <c r="BA99" s="439"/>
      <c r="BB99" s="439"/>
      <c r="BC99" s="439"/>
      <c r="BD99" s="439"/>
      <c r="BE99" s="439"/>
      <c r="BF99" s="439"/>
      <c r="BG99" s="439"/>
      <c r="BH99" s="439"/>
      <c r="BI99" s="439"/>
      <c r="BJ99" s="439"/>
    </row>
    <row r="100" spans="1:62">
      <c r="A100" s="439"/>
      <c r="B100" s="439"/>
      <c r="C100" s="439"/>
      <c r="D100" s="439"/>
      <c r="E100" s="439"/>
      <c r="F100" s="439"/>
      <c r="G100" s="439"/>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39"/>
      <c r="AY100" s="439"/>
      <c r="AZ100" s="439"/>
      <c r="BA100" s="439"/>
      <c r="BB100" s="439"/>
      <c r="BC100" s="439"/>
      <c r="BD100" s="439"/>
      <c r="BE100" s="439"/>
      <c r="BF100" s="439"/>
      <c r="BG100" s="439"/>
      <c r="BH100" s="439"/>
      <c r="BI100" s="439"/>
      <c r="BJ100" s="439"/>
    </row>
    <row r="101" spans="1:62">
      <c r="A101" s="439"/>
      <c r="B101" s="439"/>
      <c r="C101" s="439"/>
      <c r="D101" s="439"/>
      <c r="E101" s="439"/>
      <c r="F101" s="439"/>
      <c r="G101" s="439"/>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39"/>
      <c r="AY101" s="439"/>
      <c r="AZ101" s="439"/>
      <c r="BA101" s="439"/>
      <c r="BB101" s="439"/>
      <c r="BC101" s="439"/>
      <c r="BD101" s="439"/>
      <c r="BE101" s="439"/>
      <c r="BF101" s="439"/>
      <c r="BG101" s="439"/>
      <c r="BH101" s="439"/>
      <c r="BI101" s="439"/>
      <c r="BJ101" s="439"/>
    </row>
    <row r="102" spans="1:62">
      <c r="A102" s="439"/>
      <c r="B102" s="439"/>
      <c r="C102" s="439"/>
      <c r="D102" s="439"/>
      <c r="E102" s="439"/>
      <c r="F102" s="439"/>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39"/>
      <c r="AY102" s="439"/>
      <c r="AZ102" s="439"/>
      <c r="BA102" s="439"/>
      <c r="BB102" s="439"/>
      <c r="BC102" s="439"/>
      <c r="BD102" s="439"/>
      <c r="BE102" s="439"/>
      <c r="BF102" s="439"/>
      <c r="BG102" s="439"/>
      <c r="BH102" s="439"/>
      <c r="BI102" s="439"/>
      <c r="BJ102" s="439"/>
    </row>
    <row r="103" spans="1:62">
      <c r="A103" s="439"/>
      <c r="B103" s="439"/>
      <c r="C103" s="439"/>
      <c r="D103" s="439"/>
      <c r="E103" s="439"/>
      <c r="F103" s="439"/>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39"/>
      <c r="AY103" s="439"/>
      <c r="AZ103" s="439"/>
      <c r="BA103" s="439"/>
      <c r="BB103" s="439"/>
      <c r="BC103" s="439"/>
      <c r="BD103" s="439"/>
      <c r="BE103" s="439"/>
      <c r="BF103" s="439"/>
      <c r="BG103" s="439"/>
      <c r="BH103" s="439"/>
      <c r="BI103" s="439"/>
      <c r="BJ103" s="439"/>
    </row>
    <row r="104" spans="1:62">
      <c r="A104" s="439"/>
      <c r="B104" s="439"/>
      <c r="C104" s="439"/>
      <c r="D104" s="439"/>
      <c r="E104" s="439"/>
      <c r="F104" s="439"/>
      <c r="G104" s="439"/>
      <c r="H104" s="439"/>
      <c r="I104" s="439"/>
      <c r="J104" s="439"/>
      <c r="K104" s="439"/>
      <c r="L104" s="439"/>
      <c r="M104" s="439"/>
      <c r="N104" s="439"/>
      <c r="O104" s="439"/>
      <c r="P104" s="439"/>
      <c r="Q104" s="439"/>
      <c r="R104" s="439"/>
      <c r="S104" s="439"/>
      <c r="T104" s="439"/>
      <c r="U104" s="439"/>
      <c r="V104" s="439"/>
      <c r="W104" s="439"/>
      <c r="X104" s="439"/>
      <c r="Y104" s="439"/>
      <c r="Z104" s="439"/>
      <c r="AA104" s="439"/>
      <c r="AB104" s="439"/>
      <c r="AC104" s="439"/>
      <c r="AD104" s="439"/>
      <c r="AE104" s="439"/>
      <c r="AF104" s="439"/>
      <c r="AG104" s="439"/>
      <c r="AH104" s="439"/>
      <c r="AI104" s="439"/>
      <c r="AJ104" s="439"/>
      <c r="AK104" s="439"/>
      <c r="AL104" s="439"/>
      <c r="AM104" s="439"/>
      <c r="AN104" s="439"/>
      <c r="AO104" s="439"/>
      <c r="AP104" s="439"/>
      <c r="AQ104" s="439"/>
      <c r="AR104" s="439"/>
      <c r="AS104" s="439"/>
      <c r="AT104" s="439"/>
      <c r="AU104" s="439"/>
      <c r="AV104" s="439"/>
      <c r="AW104" s="439"/>
      <c r="AX104" s="439"/>
      <c r="AY104" s="439"/>
      <c r="AZ104" s="439"/>
      <c r="BA104" s="439"/>
      <c r="BB104" s="439"/>
      <c r="BC104" s="439"/>
      <c r="BD104" s="439"/>
      <c r="BE104" s="439"/>
      <c r="BF104" s="439"/>
      <c r="BG104" s="439"/>
      <c r="BH104" s="439"/>
      <c r="BI104" s="439"/>
      <c r="BJ104" s="439"/>
    </row>
    <row r="105" spans="1:62">
      <c r="A105" s="439"/>
      <c r="B105" s="439"/>
      <c r="C105" s="439"/>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39"/>
      <c r="AN105" s="439"/>
      <c r="AO105" s="439"/>
      <c r="AP105" s="439"/>
      <c r="AQ105" s="439"/>
      <c r="AR105" s="439"/>
      <c r="AS105" s="439"/>
      <c r="AT105" s="439"/>
      <c r="AU105" s="439"/>
      <c r="AV105" s="439"/>
      <c r="AW105" s="439"/>
      <c r="AX105" s="439"/>
      <c r="AY105" s="439"/>
      <c r="AZ105" s="439"/>
      <c r="BA105" s="439"/>
      <c r="BB105" s="439"/>
      <c r="BC105" s="439"/>
      <c r="BD105" s="439"/>
      <c r="BE105" s="439"/>
      <c r="BF105" s="439"/>
      <c r="BG105" s="439"/>
      <c r="BH105" s="439"/>
      <c r="BI105" s="439"/>
      <c r="BJ105" s="439"/>
    </row>
    <row r="106" spans="1:62">
      <c r="A106" s="439"/>
      <c r="B106" s="439"/>
      <c r="C106" s="439"/>
      <c r="D106" s="439"/>
      <c r="E106" s="439"/>
      <c r="F106" s="439"/>
      <c r="G106" s="439"/>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439"/>
      <c r="AG106" s="439"/>
      <c r="AH106" s="439"/>
      <c r="AI106" s="439"/>
      <c r="AJ106" s="439"/>
      <c r="AK106" s="439"/>
      <c r="AL106" s="439"/>
      <c r="AM106" s="439"/>
      <c r="AN106" s="439"/>
      <c r="AO106" s="439"/>
      <c r="AP106" s="439"/>
      <c r="AQ106" s="439"/>
      <c r="AR106" s="439"/>
      <c r="AS106" s="439"/>
      <c r="AT106" s="439"/>
      <c r="AU106" s="439"/>
      <c r="AV106" s="439"/>
      <c r="AW106" s="439"/>
      <c r="AX106" s="439"/>
      <c r="AY106" s="439"/>
      <c r="AZ106" s="439"/>
      <c r="BA106" s="439"/>
      <c r="BB106" s="439"/>
      <c r="BC106" s="439"/>
      <c r="BD106" s="439"/>
      <c r="BE106" s="439"/>
      <c r="BF106" s="439"/>
      <c r="BG106" s="439"/>
      <c r="BH106" s="439"/>
      <c r="BI106" s="439"/>
      <c r="BJ106" s="439"/>
    </row>
    <row r="107" spans="1:62">
      <c r="A107" s="439"/>
      <c r="B107" s="439"/>
      <c r="C107" s="439"/>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c r="AO107" s="439"/>
      <c r="AP107" s="439"/>
      <c r="AQ107" s="439"/>
      <c r="AR107" s="439"/>
      <c r="AS107" s="439"/>
      <c r="AT107" s="439"/>
      <c r="AU107" s="439"/>
      <c r="AV107" s="439"/>
      <c r="AW107" s="439"/>
      <c r="AX107" s="439"/>
      <c r="AY107" s="439"/>
      <c r="AZ107" s="439"/>
      <c r="BA107" s="439"/>
      <c r="BB107" s="439"/>
      <c r="BC107" s="439"/>
      <c r="BD107" s="439"/>
      <c r="BE107" s="439"/>
      <c r="BF107" s="439"/>
      <c r="BG107" s="439"/>
      <c r="BH107" s="439"/>
      <c r="BI107" s="439"/>
      <c r="BJ107" s="439"/>
    </row>
    <row r="108" spans="1:62">
      <c r="A108" s="439"/>
      <c r="B108" s="439"/>
      <c r="C108" s="439"/>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39"/>
      <c r="AZ108" s="439"/>
      <c r="BA108" s="439"/>
      <c r="BB108" s="439"/>
      <c r="BC108" s="439"/>
      <c r="BD108" s="439"/>
      <c r="BE108" s="439"/>
      <c r="BF108" s="439"/>
      <c r="BG108" s="439"/>
      <c r="BH108" s="439"/>
      <c r="BI108" s="439"/>
      <c r="BJ108" s="439"/>
    </row>
    <row r="109" spans="1:62">
      <c r="A109" s="439"/>
      <c r="B109" s="439"/>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39"/>
      <c r="AZ109" s="439"/>
      <c r="BA109" s="439"/>
      <c r="BB109" s="439"/>
      <c r="BC109" s="439"/>
      <c r="BD109" s="439"/>
      <c r="BE109" s="439"/>
      <c r="BF109" s="439"/>
      <c r="BG109" s="439"/>
      <c r="BH109" s="439"/>
      <c r="BI109" s="439"/>
      <c r="BJ109" s="439"/>
    </row>
    <row r="110" spans="1:62">
      <c r="A110" s="439"/>
      <c r="B110" s="439"/>
      <c r="C110" s="439"/>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39"/>
      <c r="AZ110" s="439"/>
      <c r="BA110" s="439"/>
      <c r="BB110" s="439"/>
      <c r="BC110" s="439"/>
      <c r="BD110" s="439"/>
      <c r="BE110" s="439"/>
      <c r="BF110" s="439"/>
      <c r="BG110" s="439"/>
      <c r="BH110" s="439"/>
      <c r="BI110" s="439"/>
      <c r="BJ110" s="439"/>
    </row>
    <row r="111" spans="1:62">
      <c r="A111" s="439"/>
      <c r="B111" s="439"/>
      <c r="C111" s="439"/>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39"/>
      <c r="AZ111" s="439"/>
      <c r="BA111" s="439"/>
      <c r="BB111" s="439"/>
      <c r="BC111" s="439"/>
      <c r="BD111" s="439"/>
      <c r="BE111" s="439"/>
      <c r="BF111" s="439"/>
      <c r="BG111" s="439"/>
      <c r="BH111" s="439"/>
      <c r="BI111" s="439"/>
      <c r="BJ111" s="439"/>
    </row>
    <row r="112" spans="1:62">
      <c r="A112" s="439"/>
      <c r="B112" s="439"/>
      <c r="C112" s="439"/>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39"/>
      <c r="AZ112" s="439"/>
      <c r="BA112" s="439"/>
      <c r="BB112" s="439"/>
      <c r="BC112" s="439"/>
      <c r="BD112" s="439"/>
      <c r="BE112" s="439"/>
      <c r="BF112" s="439"/>
      <c r="BG112" s="439"/>
      <c r="BH112" s="439"/>
      <c r="BI112" s="439"/>
      <c r="BJ112" s="439"/>
    </row>
    <row r="113" spans="1:62">
      <c r="A113" s="439"/>
      <c r="B113" s="439"/>
      <c r="C113" s="439"/>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39"/>
      <c r="AZ113" s="439"/>
      <c r="BA113" s="439"/>
      <c r="BB113" s="439"/>
      <c r="BC113" s="439"/>
      <c r="BD113" s="439"/>
      <c r="BE113" s="439"/>
      <c r="BF113" s="439"/>
      <c r="BG113" s="439"/>
      <c r="BH113" s="439"/>
      <c r="BI113" s="439"/>
      <c r="BJ113" s="439"/>
    </row>
    <row r="114" spans="1:62">
      <c r="A114" s="439"/>
      <c r="B114" s="439"/>
      <c r="C114" s="439"/>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39"/>
      <c r="AZ114" s="439"/>
      <c r="BA114" s="439"/>
      <c r="BB114" s="439"/>
      <c r="BC114" s="439"/>
      <c r="BD114" s="439"/>
      <c r="BE114" s="439"/>
      <c r="BF114" s="439"/>
      <c r="BG114" s="439"/>
      <c r="BH114" s="439"/>
      <c r="BI114" s="439"/>
      <c r="BJ114" s="439"/>
    </row>
    <row r="115" spans="1:62">
      <c r="A115" s="439"/>
      <c r="B115" s="439"/>
      <c r="C115" s="439"/>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39"/>
      <c r="AZ115" s="439"/>
      <c r="BA115" s="439"/>
      <c r="BB115" s="439"/>
      <c r="BC115" s="439"/>
      <c r="BD115" s="439"/>
      <c r="BE115" s="439"/>
      <c r="BF115" s="439"/>
      <c r="BG115" s="439"/>
      <c r="BH115" s="439"/>
      <c r="BI115" s="439"/>
      <c r="BJ115" s="439"/>
    </row>
    <row r="116" spans="1:62">
      <c r="A116" s="439"/>
      <c r="B116" s="439"/>
      <c r="C116" s="439"/>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39"/>
      <c r="AZ116" s="439"/>
      <c r="BA116" s="439"/>
      <c r="BB116" s="439"/>
      <c r="BC116" s="439"/>
      <c r="BD116" s="439"/>
      <c r="BE116" s="439"/>
      <c r="BF116" s="439"/>
      <c r="BG116" s="439"/>
      <c r="BH116" s="439"/>
      <c r="BI116" s="439"/>
      <c r="BJ116" s="439"/>
    </row>
    <row r="117" spans="1:62">
      <c r="A117" s="439"/>
      <c r="B117" s="439"/>
      <c r="C117" s="439"/>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c r="AG117" s="439"/>
      <c r="AH117" s="439"/>
      <c r="AI117" s="439"/>
      <c r="AJ117" s="439"/>
      <c r="AK117" s="439"/>
      <c r="AL117" s="439"/>
      <c r="AM117" s="439"/>
      <c r="AN117" s="439"/>
      <c r="AO117" s="439"/>
      <c r="AP117" s="439"/>
      <c r="AQ117" s="439"/>
      <c r="AR117" s="439"/>
      <c r="AS117" s="439"/>
      <c r="AT117" s="439"/>
      <c r="AU117" s="439"/>
      <c r="AV117" s="439"/>
      <c r="AW117" s="439"/>
      <c r="AX117" s="439"/>
      <c r="AY117" s="439"/>
      <c r="AZ117" s="439"/>
      <c r="BA117" s="439"/>
      <c r="BB117" s="439"/>
      <c r="BC117" s="439"/>
      <c r="BD117" s="439"/>
      <c r="BE117" s="439"/>
      <c r="BF117" s="439"/>
      <c r="BG117" s="439"/>
      <c r="BH117" s="439"/>
      <c r="BI117" s="439"/>
      <c r="BJ117" s="439"/>
    </row>
    <row r="118" spans="1:62">
      <c r="A118" s="439"/>
      <c r="B118" s="439"/>
      <c r="C118" s="439"/>
      <c r="D118" s="439"/>
      <c r="E118" s="439"/>
      <c r="F118" s="439"/>
      <c r="G118" s="439"/>
      <c r="H118" s="439"/>
      <c r="I118" s="439"/>
      <c r="J118" s="439"/>
      <c r="K118" s="439"/>
      <c r="L118" s="439"/>
      <c r="M118" s="439"/>
      <c r="N118" s="439"/>
      <c r="O118" s="439"/>
      <c r="P118" s="439"/>
      <c r="Q118" s="439"/>
      <c r="R118" s="439"/>
      <c r="S118" s="439"/>
      <c r="T118" s="439"/>
      <c r="U118" s="439"/>
      <c r="V118" s="439"/>
      <c r="W118" s="439"/>
      <c r="X118" s="439"/>
      <c r="Y118" s="439"/>
      <c r="Z118" s="439"/>
      <c r="AA118" s="439"/>
      <c r="AB118" s="439"/>
      <c r="AC118" s="439"/>
      <c r="AD118" s="439"/>
      <c r="AE118" s="439"/>
      <c r="AF118" s="439"/>
      <c r="AG118" s="439"/>
      <c r="AH118" s="439"/>
      <c r="AI118" s="439"/>
      <c r="AJ118" s="439"/>
      <c r="AK118" s="439"/>
      <c r="AL118" s="439"/>
      <c r="AM118" s="439"/>
      <c r="AN118" s="439"/>
      <c r="AO118" s="439"/>
      <c r="AP118" s="439"/>
      <c r="AQ118" s="439"/>
      <c r="AR118" s="439"/>
      <c r="AS118" s="439"/>
      <c r="AT118" s="439"/>
      <c r="AU118" s="439"/>
      <c r="AV118" s="439"/>
      <c r="AW118" s="439"/>
      <c r="AX118" s="439"/>
      <c r="AY118" s="439"/>
      <c r="AZ118" s="439"/>
      <c r="BA118" s="439"/>
      <c r="BB118" s="439"/>
      <c r="BC118" s="439"/>
      <c r="BD118" s="439"/>
      <c r="BE118" s="439"/>
      <c r="BF118" s="439"/>
      <c r="BG118" s="439"/>
      <c r="BH118" s="439"/>
      <c r="BI118" s="439"/>
      <c r="BJ118" s="439"/>
    </row>
    <row r="119" spans="1:62">
      <c r="A119" s="439"/>
      <c r="B119" s="439"/>
      <c r="C119" s="439"/>
      <c r="D119" s="439"/>
      <c r="E119" s="439"/>
      <c r="F119" s="439"/>
      <c r="G119" s="439"/>
      <c r="H119" s="439"/>
      <c r="I119" s="439"/>
      <c r="J119" s="439"/>
      <c r="K119" s="439"/>
      <c r="L119" s="439"/>
      <c r="M119" s="439"/>
      <c r="N119" s="439"/>
      <c r="O119" s="439"/>
      <c r="P119" s="439"/>
      <c r="Q119" s="439"/>
      <c r="R119" s="439"/>
      <c r="S119" s="439"/>
      <c r="T119" s="439"/>
      <c r="U119" s="439"/>
      <c r="V119" s="439"/>
      <c r="W119" s="439"/>
      <c r="X119" s="439"/>
      <c r="Y119" s="439"/>
      <c r="Z119" s="439"/>
      <c r="AA119" s="439"/>
      <c r="AB119" s="439"/>
      <c r="AC119" s="439"/>
      <c r="AD119" s="439"/>
      <c r="AE119" s="439"/>
      <c r="AF119" s="439"/>
      <c r="AG119" s="439"/>
      <c r="AH119" s="439"/>
      <c r="AI119" s="439"/>
      <c r="AJ119" s="439"/>
      <c r="AK119" s="439"/>
      <c r="AL119" s="439"/>
      <c r="AM119" s="439"/>
      <c r="AN119" s="439"/>
      <c r="AO119" s="439"/>
      <c r="AP119" s="439"/>
      <c r="AQ119" s="439"/>
      <c r="AR119" s="439"/>
      <c r="AS119" s="439"/>
      <c r="AT119" s="439"/>
      <c r="AU119" s="439"/>
      <c r="AV119" s="439"/>
      <c r="AW119" s="439"/>
      <c r="AX119" s="439"/>
      <c r="AY119" s="439"/>
      <c r="AZ119" s="439"/>
      <c r="BA119" s="439"/>
      <c r="BB119" s="439"/>
      <c r="BC119" s="439"/>
      <c r="BD119" s="439"/>
      <c r="BE119" s="439"/>
      <c r="BF119" s="439"/>
      <c r="BG119" s="439"/>
      <c r="BH119" s="439"/>
      <c r="BI119" s="439"/>
      <c r="BJ119" s="439"/>
    </row>
    <row r="120" spans="1:62">
      <c r="A120" s="439"/>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439"/>
      <c r="AG120" s="439"/>
      <c r="AH120" s="439"/>
      <c r="AI120" s="439"/>
      <c r="AJ120" s="439"/>
      <c r="AK120" s="439"/>
      <c r="AL120" s="439"/>
      <c r="AM120" s="439"/>
      <c r="AN120" s="439"/>
      <c r="AO120" s="439"/>
      <c r="AP120" s="439"/>
      <c r="AQ120" s="439"/>
      <c r="AR120" s="439"/>
      <c r="AS120" s="439"/>
      <c r="AT120" s="439"/>
      <c r="AU120" s="439"/>
      <c r="AV120" s="439"/>
      <c r="AW120" s="439"/>
      <c r="AX120" s="439"/>
      <c r="AY120" s="439"/>
      <c r="AZ120" s="439"/>
      <c r="BA120" s="439"/>
      <c r="BB120" s="439"/>
      <c r="BC120" s="439"/>
      <c r="BD120" s="439"/>
      <c r="BE120" s="439"/>
      <c r="BF120" s="439"/>
      <c r="BG120" s="439"/>
      <c r="BH120" s="439"/>
      <c r="BI120" s="439"/>
      <c r="BJ120" s="439"/>
    </row>
    <row r="121" spans="1:62">
      <c r="A121" s="439"/>
      <c r="B121" s="439"/>
      <c r="C121" s="439"/>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c r="AA121" s="439"/>
      <c r="AB121" s="439"/>
      <c r="AC121" s="439"/>
      <c r="AD121" s="439"/>
      <c r="AE121" s="439"/>
      <c r="AF121" s="439"/>
      <c r="AG121" s="439"/>
      <c r="AH121" s="439"/>
      <c r="AI121" s="439"/>
      <c r="AJ121" s="439"/>
      <c r="AK121" s="439"/>
      <c r="AL121" s="439"/>
      <c r="AM121" s="439"/>
      <c r="AN121" s="439"/>
      <c r="AO121" s="439"/>
      <c r="AP121" s="439"/>
      <c r="AQ121" s="439"/>
      <c r="AR121" s="439"/>
      <c r="AS121" s="439"/>
      <c r="AT121" s="439"/>
      <c r="AU121" s="439"/>
      <c r="AV121" s="439"/>
      <c r="AW121" s="439"/>
      <c r="AX121" s="439"/>
      <c r="AY121" s="439"/>
      <c r="AZ121" s="439"/>
      <c r="BA121" s="439"/>
      <c r="BB121" s="439"/>
      <c r="BC121" s="439"/>
      <c r="BD121" s="439"/>
      <c r="BE121" s="439"/>
      <c r="BF121" s="439"/>
      <c r="BG121" s="439"/>
      <c r="BH121" s="439"/>
      <c r="BI121" s="439"/>
      <c r="BJ121" s="439"/>
    </row>
    <row r="122" spans="1:62">
      <c r="A122" s="439"/>
      <c r="B122" s="439"/>
      <c r="C122" s="439"/>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39"/>
      <c r="AD122" s="439"/>
      <c r="AE122" s="439"/>
      <c r="AF122" s="439"/>
      <c r="AG122" s="439"/>
      <c r="AH122" s="439"/>
      <c r="AI122" s="439"/>
      <c r="AJ122" s="439"/>
      <c r="AK122" s="439"/>
      <c r="AL122" s="439"/>
      <c r="AM122" s="439"/>
      <c r="AN122" s="439"/>
      <c r="AO122" s="439"/>
      <c r="AP122" s="439"/>
      <c r="AQ122" s="439"/>
      <c r="AR122" s="439"/>
      <c r="AS122" s="439"/>
      <c r="AT122" s="439"/>
      <c r="AU122" s="439"/>
      <c r="AV122" s="439"/>
      <c r="AW122" s="439"/>
      <c r="AX122" s="439"/>
      <c r="AY122" s="439"/>
      <c r="AZ122" s="439"/>
      <c r="BA122" s="439"/>
      <c r="BB122" s="439"/>
      <c r="BC122" s="439"/>
      <c r="BD122" s="439"/>
      <c r="BE122" s="439"/>
      <c r="BF122" s="439"/>
      <c r="BG122" s="439"/>
      <c r="BH122" s="439"/>
      <c r="BI122" s="439"/>
      <c r="BJ122" s="439"/>
    </row>
    <row r="123" spans="1:62">
      <c r="A123" s="439"/>
      <c r="B123" s="439"/>
      <c r="C123" s="439"/>
      <c r="D123" s="439"/>
      <c r="E123" s="439"/>
      <c r="F123" s="439"/>
      <c r="G123" s="439"/>
      <c r="H123" s="439"/>
      <c r="I123" s="439"/>
      <c r="J123" s="439"/>
      <c r="K123" s="439"/>
      <c r="L123" s="439"/>
      <c r="M123" s="439"/>
      <c r="N123" s="439"/>
      <c r="O123" s="439"/>
      <c r="P123" s="439"/>
      <c r="Q123" s="439"/>
      <c r="R123" s="439"/>
      <c r="S123" s="439"/>
      <c r="T123" s="439"/>
      <c r="U123" s="439"/>
      <c r="V123" s="439"/>
      <c r="W123" s="439"/>
      <c r="X123" s="439"/>
      <c r="Y123" s="439"/>
      <c r="Z123" s="439"/>
      <c r="AA123" s="439"/>
      <c r="AB123" s="439"/>
      <c r="AC123" s="439"/>
      <c r="AD123" s="439"/>
      <c r="AE123" s="439"/>
      <c r="AF123" s="439"/>
      <c r="AG123" s="439"/>
      <c r="AH123" s="439"/>
      <c r="AI123" s="439"/>
      <c r="AJ123" s="439"/>
      <c r="AK123" s="439"/>
      <c r="AL123" s="439"/>
      <c r="AM123" s="439"/>
      <c r="AN123" s="439"/>
      <c r="AO123" s="439"/>
      <c r="AP123" s="439"/>
      <c r="AQ123" s="439"/>
      <c r="AR123" s="439"/>
      <c r="AS123" s="439"/>
      <c r="AT123" s="439"/>
      <c r="AU123" s="439"/>
      <c r="AV123" s="439"/>
      <c r="AW123" s="439"/>
      <c r="AX123" s="439"/>
      <c r="AY123" s="439"/>
      <c r="AZ123" s="439"/>
      <c r="BA123" s="439"/>
      <c r="BB123" s="439"/>
      <c r="BC123" s="439"/>
      <c r="BD123" s="439"/>
      <c r="BE123" s="439"/>
      <c r="BF123" s="439"/>
      <c r="BG123" s="439"/>
      <c r="BH123" s="439"/>
      <c r="BI123" s="439"/>
      <c r="BJ123" s="439"/>
    </row>
    <row r="124" spans="1:62">
      <c r="A124" s="439"/>
      <c r="B124" s="439"/>
      <c r="C124" s="439"/>
      <c r="D124" s="439"/>
      <c r="E124" s="439"/>
      <c r="F124" s="439"/>
      <c r="G124" s="439"/>
      <c r="H124" s="439"/>
      <c r="I124" s="439"/>
      <c r="J124" s="439"/>
      <c r="K124" s="439"/>
      <c r="L124" s="439"/>
      <c r="M124" s="439"/>
      <c r="N124" s="439"/>
      <c r="O124" s="439"/>
      <c r="P124" s="439"/>
      <c r="Q124" s="439"/>
      <c r="R124" s="439"/>
      <c r="S124" s="439"/>
      <c r="T124" s="439"/>
      <c r="U124" s="439"/>
      <c r="V124" s="439"/>
      <c r="W124" s="439"/>
      <c r="X124" s="439"/>
      <c r="Y124" s="439"/>
      <c r="Z124" s="439"/>
      <c r="AA124" s="439"/>
      <c r="AB124" s="439"/>
      <c r="AC124" s="439"/>
      <c r="AD124" s="439"/>
      <c r="AE124" s="439"/>
      <c r="AF124" s="439"/>
      <c r="AG124" s="439"/>
      <c r="AH124" s="439"/>
      <c r="AI124" s="439"/>
      <c r="AJ124" s="439"/>
      <c r="AK124" s="439"/>
      <c r="AL124" s="439"/>
      <c r="AM124" s="439"/>
      <c r="AN124" s="439"/>
      <c r="AO124" s="439"/>
      <c r="AP124" s="439"/>
      <c r="AQ124" s="439"/>
      <c r="AR124" s="439"/>
      <c r="AS124" s="439"/>
      <c r="AT124" s="439"/>
      <c r="AU124" s="439"/>
      <c r="AV124" s="439"/>
      <c r="AW124" s="439"/>
      <c r="AX124" s="439"/>
      <c r="AY124" s="439"/>
      <c r="AZ124" s="439"/>
      <c r="BA124" s="439"/>
      <c r="BB124" s="439"/>
      <c r="BC124" s="439"/>
      <c r="BD124" s="439"/>
      <c r="BE124" s="439"/>
      <c r="BF124" s="439"/>
      <c r="BG124" s="439"/>
      <c r="BH124" s="439"/>
      <c r="BI124" s="439"/>
      <c r="BJ124" s="439"/>
    </row>
    <row r="125" spans="1:62">
      <c r="A125" s="439"/>
      <c r="B125" s="439"/>
      <c r="C125" s="439"/>
      <c r="D125" s="439"/>
      <c r="E125" s="439"/>
      <c r="F125" s="439"/>
      <c r="G125" s="439"/>
      <c r="H125" s="439"/>
      <c r="I125" s="439"/>
      <c r="J125" s="439"/>
      <c r="K125" s="439"/>
      <c r="L125" s="439"/>
      <c r="M125" s="439"/>
      <c r="N125" s="439"/>
      <c r="O125" s="439"/>
      <c r="P125" s="439"/>
      <c r="Q125" s="439"/>
      <c r="R125" s="439"/>
      <c r="S125" s="439"/>
      <c r="T125" s="439"/>
      <c r="U125" s="439"/>
      <c r="V125" s="439"/>
      <c r="W125" s="439"/>
      <c r="X125" s="439"/>
      <c r="Y125" s="439"/>
      <c r="Z125" s="439"/>
      <c r="AA125" s="439"/>
      <c r="AB125" s="439"/>
      <c r="AC125" s="439"/>
      <c r="AD125" s="439"/>
      <c r="AE125" s="439"/>
      <c r="AF125" s="439"/>
      <c r="AG125" s="439"/>
      <c r="AH125" s="439"/>
      <c r="AI125" s="439"/>
      <c r="AJ125" s="439"/>
      <c r="AK125" s="439"/>
      <c r="AL125" s="439"/>
      <c r="AM125" s="439"/>
      <c r="AN125" s="439"/>
      <c r="AO125" s="439"/>
      <c r="AP125" s="439"/>
      <c r="AQ125" s="439"/>
      <c r="AR125" s="439"/>
      <c r="AS125" s="439"/>
      <c r="AT125" s="439"/>
      <c r="AU125" s="439"/>
      <c r="AV125" s="439"/>
      <c r="AW125" s="439"/>
      <c r="AX125" s="439"/>
      <c r="AY125" s="439"/>
      <c r="AZ125" s="439"/>
      <c r="BA125" s="439"/>
      <c r="BB125" s="439"/>
      <c r="BC125" s="439"/>
      <c r="BD125" s="439"/>
      <c r="BE125" s="439"/>
      <c r="BF125" s="439"/>
      <c r="BG125" s="439"/>
      <c r="BH125" s="439"/>
      <c r="BI125" s="439"/>
      <c r="BJ125" s="439"/>
    </row>
    <row r="126" spans="1:62">
      <c r="A126" s="439"/>
      <c r="B126" s="439"/>
      <c r="C126" s="439"/>
      <c r="D126" s="439"/>
      <c r="E126" s="439"/>
      <c r="F126" s="439"/>
      <c r="G126" s="439"/>
      <c r="H126" s="439"/>
      <c r="I126" s="439"/>
      <c r="J126" s="439"/>
      <c r="K126" s="439"/>
      <c r="L126" s="439"/>
      <c r="M126" s="439"/>
      <c r="N126" s="439"/>
      <c r="O126" s="439"/>
      <c r="P126" s="439"/>
      <c r="Q126" s="439"/>
      <c r="R126" s="439"/>
      <c r="S126" s="439"/>
      <c r="T126" s="439"/>
      <c r="U126" s="439"/>
      <c r="V126" s="439"/>
      <c r="W126" s="439"/>
      <c r="X126" s="439"/>
      <c r="Y126" s="439"/>
      <c r="Z126" s="439"/>
      <c r="AA126" s="439"/>
      <c r="AB126" s="439"/>
      <c r="AC126" s="439"/>
      <c r="AD126" s="439"/>
      <c r="AE126" s="439"/>
      <c r="AF126" s="439"/>
      <c r="AG126" s="439"/>
      <c r="AH126" s="439"/>
      <c r="AI126" s="439"/>
      <c r="AJ126" s="439"/>
      <c r="AK126" s="439"/>
      <c r="AL126" s="439"/>
      <c r="AM126" s="439"/>
      <c r="AN126" s="439"/>
      <c r="AO126" s="439"/>
      <c r="AP126" s="439"/>
      <c r="AQ126" s="439"/>
      <c r="AR126" s="439"/>
      <c r="AS126" s="439"/>
      <c r="AT126" s="439"/>
      <c r="AU126" s="439"/>
      <c r="AV126" s="439"/>
      <c r="AW126" s="439"/>
      <c r="AX126" s="439"/>
      <c r="AY126" s="439"/>
      <c r="AZ126" s="439"/>
      <c r="BA126" s="439"/>
      <c r="BB126" s="439"/>
      <c r="BC126" s="439"/>
      <c r="BD126" s="439"/>
      <c r="BE126" s="439"/>
      <c r="BF126" s="439"/>
      <c r="BG126" s="439"/>
      <c r="BH126" s="439"/>
      <c r="BI126" s="439"/>
      <c r="BJ126" s="439"/>
    </row>
    <row r="127" spans="1:62">
      <c r="A127" s="439"/>
      <c r="B127" s="439"/>
      <c r="C127" s="439"/>
      <c r="D127" s="439"/>
      <c r="E127" s="439"/>
      <c r="F127" s="439"/>
      <c r="G127" s="439"/>
      <c r="H127" s="439"/>
      <c r="I127" s="439"/>
      <c r="J127" s="439"/>
      <c r="K127" s="439"/>
      <c r="L127" s="439"/>
      <c r="M127" s="439"/>
      <c r="N127" s="439"/>
      <c r="O127" s="439"/>
      <c r="P127" s="439"/>
      <c r="Q127" s="439"/>
      <c r="R127" s="439"/>
      <c r="S127" s="439"/>
      <c r="T127" s="439"/>
      <c r="U127" s="439"/>
      <c r="V127" s="439"/>
      <c r="W127" s="439"/>
      <c r="X127" s="439"/>
      <c r="Y127" s="439"/>
      <c r="Z127" s="439"/>
      <c r="AA127" s="439"/>
      <c r="AB127" s="439"/>
      <c r="AC127" s="439"/>
      <c r="AD127" s="439"/>
      <c r="AE127" s="439"/>
      <c r="AF127" s="439"/>
      <c r="AG127" s="439"/>
      <c r="AH127" s="439"/>
      <c r="AI127" s="439"/>
      <c r="AJ127" s="439"/>
      <c r="AK127" s="439"/>
      <c r="AL127" s="439"/>
      <c r="AM127" s="439"/>
      <c r="AN127" s="439"/>
      <c r="AO127" s="439"/>
      <c r="AP127" s="439"/>
      <c r="AQ127" s="439"/>
      <c r="AR127" s="439"/>
      <c r="AS127" s="439"/>
      <c r="AT127" s="439"/>
      <c r="AU127" s="439"/>
      <c r="AV127" s="439"/>
      <c r="AW127" s="439"/>
      <c r="AX127" s="439"/>
      <c r="AY127" s="439"/>
      <c r="AZ127" s="439"/>
      <c r="BA127" s="439"/>
      <c r="BB127" s="439"/>
      <c r="BC127" s="439"/>
      <c r="BD127" s="439"/>
      <c r="BE127" s="439"/>
      <c r="BF127" s="439"/>
      <c r="BG127" s="439"/>
      <c r="BH127" s="439"/>
      <c r="BI127" s="439"/>
      <c r="BJ127" s="439"/>
    </row>
    <row r="128" spans="1:62">
      <c r="A128" s="439"/>
      <c r="B128" s="439"/>
      <c r="C128" s="439"/>
      <c r="D128" s="439"/>
      <c r="E128" s="439"/>
      <c r="F128" s="439"/>
      <c r="G128" s="439"/>
      <c r="H128" s="439"/>
      <c r="I128" s="439"/>
      <c r="J128" s="439"/>
      <c r="K128" s="439"/>
      <c r="L128" s="439"/>
      <c r="M128" s="439"/>
      <c r="N128" s="439"/>
      <c r="O128" s="439"/>
      <c r="P128" s="439"/>
      <c r="Q128" s="439"/>
      <c r="R128" s="439"/>
      <c r="S128" s="439"/>
      <c r="T128" s="439"/>
      <c r="U128" s="439"/>
      <c r="V128" s="439"/>
      <c r="W128" s="439"/>
      <c r="X128" s="439"/>
      <c r="Y128" s="439"/>
      <c r="Z128" s="439"/>
      <c r="AA128" s="439"/>
      <c r="AB128" s="439"/>
      <c r="AC128" s="439"/>
      <c r="AD128" s="439"/>
      <c r="AE128" s="439"/>
      <c r="AF128" s="439"/>
      <c r="AG128" s="439"/>
      <c r="AH128" s="439"/>
      <c r="AI128" s="439"/>
      <c r="AJ128" s="439"/>
      <c r="AK128" s="439"/>
      <c r="AL128" s="439"/>
      <c r="AM128" s="439"/>
      <c r="AN128" s="439"/>
      <c r="AO128" s="439"/>
      <c r="AP128" s="439"/>
      <c r="AQ128" s="439"/>
      <c r="AR128" s="439"/>
      <c r="AS128" s="439"/>
      <c r="AT128" s="439"/>
      <c r="AU128" s="439"/>
      <c r="AV128" s="439"/>
      <c r="AW128" s="439"/>
      <c r="AX128" s="439"/>
      <c r="AY128" s="439"/>
      <c r="AZ128" s="439"/>
      <c r="BA128" s="439"/>
      <c r="BB128" s="439"/>
      <c r="BC128" s="439"/>
      <c r="BD128" s="439"/>
      <c r="BE128" s="439"/>
      <c r="BF128" s="439"/>
      <c r="BG128" s="439"/>
      <c r="BH128" s="439"/>
      <c r="BI128" s="439"/>
      <c r="BJ128" s="439"/>
    </row>
    <row r="129" spans="1:62">
      <c r="A129" s="439"/>
      <c r="B129" s="439"/>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39"/>
      <c r="AB129" s="439"/>
      <c r="AC129" s="439"/>
      <c r="AD129" s="439"/>
      <c r="AE129" s="439"/>
      <c r="AF129" s="439"/>
      <c r="AG129" s="439"/>
      <c r="AH129" s="439"/>
      <c r="AI129" s="439"/>
      <c r="AJ129" s="439"/>
      <c r="AK129" s="439"/>
      <c r="AL129" s="439"/>
      <c r="AM129" s="439"/>
      <c r="AN129" s="439"/>
      <c r="AO129" s="439"/>
      <c r="AP129" s="439"/>
      <c r="AQ129" s="439"/>
      <c r="AR129" s="439"/>
      <c r="AS129" s="439"/>
      <c r="AT129" s="439"/>
      <c r="AU129" s="439"/>
      <c r="AV129" s="439"/>
      <c r="AW129" s="439"/>
      <c r="AX129" s="439"/>
      <c r="AY129" s="439"/>
      <c r="AZ129" s="439"/>
      <c r="BA129" s="439"/>
      <c r="BB129" s="439"/>
      <c r="BC129" s="439"/>
      <c r="BD129" s="439"/>
      <c r="BE129" s="439"/>
      <c r="BF129" s="439"/>
      <c r="BG129" s="439"/>
      <c r="BH129" s="439"/>
      <c r="BI129" s="439"/>
      <c r="BJ129" s="439"/>
    </row>
    <row r="130" spans="1:62">
      <c r="A130" s="439"/>
      <c r="B130" s="439"/>
      <c r="C130" s="439"/>
      <c r="D130" s="439"/>
      <c r="E130" s="439"/>
      <c r="F130" s="439"/>
      <c r="G130" s="439"/>
      <c r="H130" s="439"/>
      <c r="I130" s="439"/>
      <c r="J130" s="439"/>
      <c r="K130" s="439"/>
      <c r="L130" s="439"/>
      <c r="M130" s="439"/>
      <c r="N130" s="439"/>
      <c r="O130" s="439"/>
      <c r="P130" s="439"/>
      <c r="Q130" s="439"/>
      <c r="R130" s="439"/>
      <c r="S130" s="439"/>
      <c r="T130" s="439"/>
      <c r="U130" s="439"/>
      <c r="V130" s="439"/>
      <c r="W130" s="439"/>
      <c r="X130" s="439"/>
      <c r="Y130" s="439"/>
      <c r="Z130" s="439"/>
      <c r="AA130" s="439"/>
      <c r="AB130" s="439"/>
      <c r="AC130" s="439"/>
      <c r="AD130" s="439"/>
      <c r="AE130" s="439"/>
      <c r="AF130" s="439"/>
      <c r="AG130" s="439"/>
      <c r="AH130" s="439"/>
      <c r="AI130" s="439"/>
      <c r="AJ130" s="439"/>
      <c r="AK130" s="439"/>
      <c r="AL130" s="439"/>
      <c r="AM130" s="439"/>
      <c r="AN130" s="439"/>
      <c r="AO130" s="439"/>
      <c r="AP130" s="439"/>
      <c r="AQ130" s="439"/>
      <c r="AR130" s="439"/>
      <c r="AS130" s="439"/>
      <c r="AT130" s="439"/>
      <c r="AU130" s="439"/>
      <c r="AV130" s="439"/>
      <c r="AW130" s="439"/>
      <c r="AX130" s="439"/>
      <c r="AY130" s="439"/>
      <c r="AZ130" s="439"/>
      <c r="BA130" s="439"/>
      <c r="BB130" s="439"/>
      <c r="BC130" s="439"/>
      <c r="BD130" s="439"/>
      <c r="BE130" s="439"/>
      <c r="BF130" s="439"/>
      <c r="BG130" s="439"/>
      <c r="BH130" s="439"/>
      <c r="BI130" s="439"/>
      <c r="BJ130" s="439"/>
    </row>
    <row r="131" spans="1:62">
      <c r="A131" s="439"/>
      <c r="B131" s="439"/>
      <c r="C131" s="439"/>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39"/>
      <c r="Z131" s="439"/>
      <c r="AA131" s="439"/>
      <c r="AB131" s="439"/>
      <c r="AC131" s="439"/>
      <c r="AD131" s="439"/>
      <c r="AE131" s="439"/>
      <c r="AF131" s="439"/>
      <c r="AG131" s="439"/>
      <c r="AH131" s="439"/>
      <c r="AI131" s="439"/>
      <c r="AJ131" s="439"/>
      <c r="AK131" s="439"/>
      <c r="AL131" s="439"/>
      <c r="AM131" s="439"/>
      <c r="AN131" s="439"/>
      <c r="AO131" s="439"/>
      <c r="AP131" s="439"/>
      <c r="AQ131" s="439"/>
      <c r="AR131" s="439"/>
      <c r="AS131" s="439"/>
      <c r="AT131" s="439"/>
      <c r="AU131" s="439"/>
      <c r="AV131" s="439"/>
      <c r="AW131" s="439"/>
      <c r="AX131" s="439"/>
      <c r="AY131" s="439"/>
      <c r="AZ131" s="439"/>
      <c r="BA131" s="439"/>
      <c r="BB131" s="439"/>
      <c r="BC131" s="439"/>
      <c r="BD131" s="439"/>
      <c r="BE131" s="439"/>
      <c r="BF131" s="439"/>
      <c r="BG131" s="439"/>
      <c r="BH131" s="439"/>
      <c r="BI131" s="439"/>
      <c r="BJ131" s="439"/>
    </row>
    <row r="132" spans="1:62">
      <c r="A132" s="439"/>
      <c r="B132" s="439"/>
      <c r="C132" s="439"/>
      <c r="D132" s="439"/>
      <c r="E132" s="439"/>
      <c r="F132" s="439"/>
      <c r="G132" s="439"/>
      <c r="H132" s="439"/>
      <c r="I132" s="439"/>
      <c r="J132" s="439"/>
      <c r="K132" s="439"/>
      <c r="L132" s="439"/>
      <c r="M132" s="439"/>
      <c r="N132" s="439"/>
      <c r="O132" s="439"/>
      <c r="P132" s="439"/>
      <c r="Q132" s="439"/>
      <c r="R132" s="439"/>
      <c r="S132" s="439"/>
      <c r="T132" s="439"/>
      <c r="U132" s="439"/>
      <c r="V132" s="439"/>
      <c r="W132" s="439"/>
      <c r="X132" s="439"/>
      <c r="Y132" s="439"/>
      <c r="Z132" s="439"/>
      <c r="AA132" s="439"/>
      <c r="AB132" s="439"/>
      <c r="AC132" s="439"/>
      <c r="AD132" s="439"/>
      <c r="AE132" s="439"/>
      <c r="AF132" s="439"/>
      <c r="AG132" s="439"/>
      <c r="AH132" s="439"/>
      <c r="AI132" s="439"/>
      <c r="AJ132" s="439"/>
      <c r="AK132" s="439"/>
      <c r="AL132" s="439"/>
      <c r="AM132" s="439"/>
      <c r="AN132" s="439"/>
      <c r="AO132" s="439"/>
      <c r="AP132" s="439"/>
      <c r="AQ132" s="439"/>
      <c r="AR132" s="439"/>
      <c r="AS132" s="439"/>
      <c r="AT132" s="439"/>
      <c r="AU132" s="439"/>
      <c r="AV132" s="439"/>
      <c r="AW132" s="439"/>
      <c r="AX132" s="439"/>
      <c r="AY132" s="439"/>
      <c r="AZ132" s="439"/>
      <c r="BA132" s="439"/>
      <c r="BB132" s="439"/>
      <c r="BC132" s="439"/>
      <c r="BD132" s="439"/>
      <c r="BE132" s="439"/>
      <c r="BF132" s="439"/>
      <c r="BG132" s="439"/>
      <c r="BH132" s="439"/>
      <c r="BI132" s="439"/>
      <c r="BJ132" s="439"/>
    </row>
    <row r="133" spans="1:62">
      <c r="A133" s="439"/>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439"/>
      <c r="BA133" s="439"/>
      <c r="BB133" s="439"/>
      <c r="BC133" s="439"/>
      <c r="BD133" s="439"/>
      <c r="BE133" s="439"/>
      <c r="BF133" s="439"/>
      <c r="BG133" s="439"/>
      <c r="BH133" s="439"/>
      <c r="BI133" s="439"/>
      <c r="BJ133" s="439"/>
    </row>
    <row r="134" spans="1:62">
      <c r="A134" s="439"/>
      <c r="B134" s="439"/>
      <c r="C134" s="439"/>
      <c r="D134" s="439"/>
      <c r="E134" s="439"/>
      <c r="F134" s="439"/>
      <c r="G134" s="439"/>
      <c r="H134" s="439"/>
      <c r="I134" s="439"/>
      <c r="J134" s="439"/>
      <c r="K134" s="439"/>
      <c r="L134" s="439"/>
      <c r="M134" s="439"/>
      <c r="N134" s="439"/>
      <c r="O134" s="439"/>
      <c r="P134" s="439"/>
      <c r="Q134" s="439"/>
      <c r="R134" s="439"/>
      <c r="S134" s="439"/>
      <c r="T134" s="439"/>
      <c r="U134" s="439"/>
      <c r="V134" s="439"/>
      <c r="W134" s="439"/>
      <c r="X134" s="439"/>
      <c r="Y134" s="439"/>
      <c r="Z134" s="439"/>
      <c r="AA134" s="439"/>
      <c r="AB134" s="439"/>
      <c r="AC134" s="439"/>
      <c r="AD134" s="439"/>
      <c r="AE134" s="439"/>
      <c r="AF134" s="439"/>
      <c r="AG134" s="439"/>
      <c r="AH134" s="439"/>
      <c r="AI134" s="439"/>
      <c r="AJ134" s="439"/>
      <c r="AK134" s="439"/>
      <c r="AL134" s="439"/>
      <c r="AM134" s="439"/>
      <c r="AN134" s="439"/>
      <c r="AO134" s="439"/>
      <c r="AP134" s="439"/>
      <c r="AQ134" s="439"/>
      <c r="AR134" s="439"/>
      <c r="AS134" s="439"/>
      <c r="AT134" s="439"/>
      <c r="AU134" s="439"/>
      <c r="AV134" s="439"/>
      <c r="AW134" s="439"/>
      <c r="AX134" s="439"/>
      <c r="AY134" s="439"/>
      <c r="AZ134" s="439"/>
      <c r="BA134" s="439"/>
      <c r="BB134" s="439"/>
      <c r="BC134" s="439"/>
      <c r="BD134" s="439"/>
      <c r="BE134" s="439"/>
      <c r="BF134" s="439"/>
      <c r="BG134" s="439"/>
      <c r="BH134" s="439"/>
      <c r="BI134" s="439"/>
      <c r="BJ134" s="439"/>
    </row>
    <row r="135" spans="1:62">
      <c r="A135" s="439"/>
      <c r="B135" s="439"/>
      <c r="C135" s="439"/>
      <c r="D135" s="439"/>
      <c r="E135" s="439"/>
      <c r="F135" s="439"/>
      <c r="G135" s="439"/>
      <c r="H135" s="439"/>
      <c r="I135" s="439"/>
      <c r="J135" s="439"/>
      <c r="K135" s="439"/>
      <c r="L135" s="439"/>
      <c r="M135" s="439"/>
      <c r="N135" s="439"/>
      <c r="O135" s="439"/>
      <c r="P135" s="439"/>
      <c r="Q135" s="439"/>
      <c r="R135" s="439"/>
      <c r="S135" s="439"/>
      <c r="T135" s="439"/>
      <c r="U135" s="439"/>
      <c r="V135" s="439"/>
      <c r="W135" s="439"/>
      <c r="X135" s="439"/>
      <c r="Y135" s="439"/>
      <c r="Z135" s="439"/>
      <c r="AA135" s="439"/>
      <c r="AB135" s="439"/>
      <c r="AC135" s="439"/>
      <c r="AD135" s="439"/>
      <c r="AE135" s="439"/>
      <c r="AF135" s="439"/>
      <c r="AG135" s="439"/>
      <c r="AH135" s="439"/>
      <c r="AI135" s="439"/>
      <c r="AJ135" s="439"/>
      <c r="AK135" s="439"/>
      <c r="AL135" s="439"/>
      <c r="AM135" s="439"/>
      <c r="AN135" s="439"/>
      <c r="AO135" s="439"/>
      <c r="AP135" s="439"/>
      <c r="AQ135" s="439"/>
      <c r="AR135" s="439"/>
      <c r="AS135" s="439"/>
      <c r="AT135" s="439"/>
      <c r="AU135" s="439"/>
      <c r="AV135" s="439"/>
      <c r="AW135" s="439"/>
      <c r="AX135" s="439"/>
      <c r="AY135" s="439"/>
      <c r="AZ135" s="439"/>
      <c r="BA135" s="439"/>
      <c r="BB135" s="439"/>
      <c r="BC135" s="439"/>
      <c r="BD135" s="439"/>
      <c r="BE135" s="439"/>
      <c r="BF135" s="439"/>
      <c r="BG135" s="439"/>
      <c r="BH135" s="439"/>
      <c r="BI135" s="439"/>
      <c r="BJ135" s="439"/>
    </row>
    <row r="136" spans="1:62">
      <c r="A136" s="439"/>
      <c r="B136" s="439"/>
      <c r="C136" s="439"/>
      <c r="D136" s="439"/>
      <c r="E136" s="439"/>
      <c r="F136" s="439"/>
      <c r="G136" s="439"/>
      <c r="H136" s="439"/>
      <c r="I136" s="439"/>
      <c r="J136" s="439"/>
      <c r="K136" s="439"/>
      <c r="L136" s="439"/>
      <c r="M136" s="439"/>
      <c r="N136" s="439"/>
      <c r="O136" s="439"/>
      <c r="P136" s="439"/>
      <c r="Q136" s="439"/>
      <c r="R136" s="439"/>
      <c r="S136" s="439"/>
      <c r="T136" s="439"/>
      <c r="U136" s="439"/>
      <c r="V136" s="439"/>
      <c r="W136" s="439"/>
      <c r="X136" s="439"/>
      <c r="Y136" s="439"/>
      <c r="Z136" s="439"/>
      <c r="AA136" s="439"/>
      <c r="AB136" s="439"/>
      <c r="AC136" s="439"/>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39"/>
      <c r="AY136" s="439"/>
      <c r="AZ136" s="439"/>
      <c r="BA136" s="439"/>
      <c r="BB136" s="439"/>
      <c r="BC136" s="439"/>
      <c r="BD136" s="439"/>
      <c r="BE136" s="439"/>
      <c r="BF136" s="439"/>
      <c r="BG136" s="439"/>
      <c r="BH136" s="439"/>
      <c r="BI136" s="439"/>
      <c r="BJ136" s="439"/>
    </row>
    <row r="137" spans="1:62">
      <c r="A137" s="439"/>
      <c r="B137" s="439"/>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39"/>
      <c r="AZ137" s="439"/>
      <c r="BA137" s="439"/>
      <c r="BB137" s="439"/>
      <c r="BC137" s="439"/>
      <c r="BD137" s="439"/>
      <c r="BE137" s="439"/>
      <c r="BF137" s="439"/>
      <c r="BG137" s="439"/>
      <c r="BH137" s="439"/>
      <c r="BI137" s="439"/>
      <c r="BJ137" s="439"/>
    </row>
    <row r="138" spans="1:62">
      <c r="A138" s="439"/>
      <c r="B138" s="439"/>
      <c r="C138" s="439"/>
      <c r="D138" s="439"/>
      <c r="E138" s="439"/>
      <c r="F138" s="439"/>
      <c r="G138" s="439"/>
      <c r="H138" s="439"/>
      <c r="I138" s="439"/>
      <c r="J138" s="439"/>
      <c r="K138" s="439"/>
      <c r="L138" s="439"/>
      <c r="M138" s="439"/>
      <c r="N138" s="439"/>
      <c r="O138" s="439"/>
      <c r="P138" s="439"/>
      <c r="Q138" s="439"/>
      <c r="R138" s="439"/>
      <c r="S138" s="439"/>
      <c r="T138" s="439"/>
      <c r="U138" s="439"/>
      <c r="V138" s="439"/>
      <c r="W138" s="439"/>
      <c r="X138" s="439"/>
      <c r="Y138" s="439"/>
      <c r="Z138" s="439"/>
      <c r="AA138" s="439"/>
      <c r="AB138" s="439"/>
      <c r="AC138" s="439"/>
      <c r="AD138" s="439"/>
      <c r="AE138" s="439"/>
      <c r="AF138" s="439"/>
      <c r="AG138" s="439"/>
      <c r="AH138" s="439"/>
      <c r="AI138" s="439"/>
      <c r="AJ138" s="439"/>
      <c r="AK138" s="439"/>
      <c r="AL138" s="439"/>
      <c r="AM138" s="439"/>
      <c r="AN138" s="439"/>
      <c r="AO138" s="439"/>
      <c r="AP138" s="439"/>
      <c r="AQ138" s="439"/>
      <c r="AR138" s="439"/>
      <c r="AS138" s="439"/>
      <c r="AT138" s="439"/>
      <c r="AU138" s="439"/>
      <c r="AV138" s="439"/>
      <c r="AW138" s="439"/>
      <c r="AX138" s="439"/>
      <c r="AY138" s="439"/>
      <c r="AZ138" s="439"/>
      <c r="BA138" s="439"/>
      <c r="BB138" s="439"/>
      <c r="BC138" s="439"/>
      <c r="BD138" s="439"/>
      <c r="BE138" s="439"/>
      <c r="BF138" s="439"/>
      <c r="BG138" s="439"/>
      <c r="BH138" s="439"/>
      <c r="BI138" s="439"/>
      <c r="BJ138" s="439"/>
    </row>
    <row r="139" spans="1:62">
      <c r="A139" s="439"/>
      <c r="B139" s="439"/>
      <c r="C139" s="439"/>
      <c r="D139" s="439"/>
      <c r="E139" s="439"/>
      <c r="F139" s="439"/>
      <c r="G139" s="439"/>
      <c r="H139" s="439"/>
      <c r="I139" s="439"/>
      <c r="J139" s="439"/>
      <c r="K139" s="439"/>
      <c r="L139" s="439"/>
      <c r="M139" s="439"/>
      <c r="N139" s="439"/>
      <c r="O139" s="439"/>
      <c r="P139" s="439"/>
      <c r="Q139" s="439"/>
      <c r="R139" s="439"/>
      <c r="S139" s="439"/>
      <c r="T139" s="439"/>
      <c r="U139" s="439"/>
      <c r="V139" s="439"/>
      <c r="W139" s="439"/>
      <c r="X139" s="439"/>
      <c r="Y139" s="439"/>
      <c r="Z139" s="439"/>
      <c r="AA139" s="439"/>
      <c r="AB139" s="439"/>
      <c r="AC139" s="439"/>
      <c r="AD139" s="439"/>
      <c r="AE139" s="439"/>
      <c r="AF139" s="439"/>
      <c r="AG139" s="439"/>
      <c r="AH139" s="439"/>
      <c r="AI139" s="439"/>
      <c r="AJ139" s="439"/>
      <c r="AK139" s="439"/>
      <c r="AL139" s="439"/>
      <c r="AM139" s="439"/>
      <c r="AN139" s="439"/>
      <c r="AO139" s="439"/>
      <c r="AP139" s="439"/>
      <c r="AQ139" s="439"/>
      <c r="AR139" s="439"/>
      <c r="AS139" s="439"/>
      <c r="AT139" s="439"/>
      <c r="AU139" s="439"/>
      <c r="AV139" s="439"/>
      <c r="AW139" s="439"/>
      <c r="AX139" s="439"/>
      <c r="AY139" s="439"/>
      <c r="AZ139" s="439"/>
      <c r="BA139" s="439"/>
      <c r="BB139" s="439"/>
      <c r="BC139" s="439"/>
      <c r="BD139" s="439"/>
      <c r="BE139" s="439"/>
      <c r="BF139" s="439"/>
      <c r="BG139" s="439"/>
      <c r="BH139" s="439"/>
      <c r="BI139" s="439"/>
      <c r="BJ139" s="439"/>
    </row>
    <row r="140" spans="1:62">
      <c r="A140" s="439"/>
      <c r="B140" s="439"/>
      <c r="C140" s="439"/>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439"/>
      <c r="AE140" s="439"/>
      <c r="AF140" s="439"/>
      <c r="AG140" s="439"/>
      <c r="AH140" s="439"/>
      <c r="AI140" s="439"/>
      <c r="AJ140" s="439"/>
      <c r="AK140" s="439"/>
      <c r="AL140" s="439"/>
      <c r="AM140" s="439"/>
      <c r="AN140" s="439"/>
      <c r="AO140" s="439"/>
      <c r="AP140" s="439"/>
      <c r="AQ140" s="439"/>
      <c r="AR140" s="439"/>
      <c r="AS140" s="439"/>
      <c r="AT140" s="439"/>
      <c r="AU140" s="439"/>
      <c r="AV140" s="439"/>
      <c r="AW140" s="439"/>
      <c r="AX140" s="439"/>
      <c r="AY140" s="439"/>
      <c r="AZ140" s="439"/>
      <c r="BA140" s="439"/>
      <c r="BB140" s="439"/>
      <c r="BC140" s="439"/>
      <c r="BD140" s="439"/>
      <c r="BE140" s="439"/>
      <c r="BF140" s="439"/>
      <c r="BG140" s="439"/>
      <c r="BH140" s="439"/>
      <c r="BI140" s="439"/>
      <c r="BJ140" s="439"/>
    </row>
    <row r="141" spans="1:62">
      <c r="A141" s="439"/>
      <c r="B141" s="439"/>
      <c r="C141" s="439"/>
      <c r="D141" s="439"/>
      <c r="E141" s="439"/>
      <c r="F141" s="439"/>
      <c r="G141" s="439"/>
      <c r="H141" s="439"/>
      <c r="I141" s="439"/>
      <c r="J141" s="439"/>
      <c r="K141" s="439"/>
      <c r="L141" s="439"/>
      <c r="M141" s="439"/>
      <c r="N141" s="439"/>
      <c r="O141" s="439"/>
      <c r="P141" s="439"/>
      <c r="Q141" s="439"/>
      <c r="R141" s="439"/>
      <c r="S141" s="439"/>
      <c r="T141" s="439"/>
      <c r="U141" s="439"/>
      <c r="V141" s="439"/>
      <c r="W141" s="439"/>
      <c r="X141" s="439"/>
      <c r="Y141" s="439"/>
      <c r="Z141" s="439"/>
      <c r="AA141" s="439"/>
      <c r="AB141" s="439"/>
      <c r="AC141" s="439"/>
      <c r="AD141" s="439"/>
      <c r="AE141" s="439"/>
      <c r="AF141" s="439"/>
      <c r="AG141" s="439"/>
      <c r="AH141" s="439"/>
      <c r="AI141" s="439"/>
      <c r="AJ141" s="439"/>
      <c r="AK141" s="439"/>
      <c r="AL141" s="439"/>
      <c r="AM141" s="439"/>
      <c r="AN141" s="439"/>
      <c r="AO141" s="439"/>
      <c r="AP141" s="439"/>
      <c r="AQ141" s="439"/>
      <c r="AR141" s="439"/>
      <c r="AS141" s="439"/>
      <c r="AT141" s="439"/>
      <c r="AU141" s="439"/>
      <c r="AV141" s="439"/>
      <c r="AW141" s="439"/>
      <c r="AX141" s="439"/>
      <c r="AY141" s="439"/>
      <c r="AZ141" s="439"/>
      <c r="BA141" s="439"/>
      <c r="BB141" s="439"/>
      <c r="BC141" s="439"/>
      <c r="BD141" s="439"/>
      <c r="BE141" s="439"/>
      <c r="BF141" s="439"/>
      <c r="BG141" s="439"/>
      <c r="BH141" s="439"/>
      <c r="BI141" s="439"/>
      <c r="BJ141" s="439"/>
    </row>
    <row r="142" spans="1:62">
      <c r="A142" s="439"/>
      <c r="B142" s="439"/>
      <c r="C142" s="439"/>
      <c r="D142" s="439"/>
      <c r="E142" s="439"/>
      <c r="F142" s="439"/>
      <c r="G142" s="439"/>
      <c r="H142" s="439"/>
      <c r="I142" s="439"/>
      <c r="J142" s="439"/>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439"/>
      <c r="AJ142" s="439"/>
      <c r="AK142" s="439"/>
      <c r="AL142" s="439"/>
      <c r="AM142" s="439"/>
      <c r="AN142" s="439"/>
      <c r="AO142" s="439"/>
      <c r="AP142" s="439"/>
      <c r="AQ142" s="439"/>
      <c r="AR142" s="439"/>
      <c r="AS142" s="439"/>
      <c r="AT142" s="439"/>
      <c r="AU142" s="439"/>
      <c r="AV142" s="439"/>
      <c r="AW142" s="439"/>
      <c r="AX142" s="439"/>
      <c r="AY142" s="439"/>
      <c r="AZ142" s="439"/>
      <c r="BA142" s="439"/>
      <c r="BB142" s="439"/>
      <c r="BC142" s="439"/>
      <c r="BD142" s="439"/>
      <c r="BE142" s="439"/>
      <c r="BF142" s="439"/>
      <c r="BG142" s="439"/>
      <c r="BH142" s="439"/>
      <c r="BI142" s="439"/>
      <c r="BJ142" s="439"/>
    </row>
    <row r="143" spans="1:62">
      <c r="A143" s="439"/>
      <c r="B143" s="439"/>
      <c r="C143" s="439"/>
      <c r="D143" s="439"/>
      <c r="E143" s="439"/>
      <c r="F143" s="439"/>
      <c r="G143" s="439"/>
      <c r="H143" s="439"/>
      <c r="I143" s="439"/>
      <c r="J143" s="439"/>
      <c r="K143" s="439"/>
      <c r="L143" s="439"/>
      <c r="M143" s="439"/>
      <c r="N143" s="439"/>
      <c r="O143" s="439"/>
      <c r="P143" s="439"/>
      <c r="Q143" s="439"/>
      <c r="R143" s="439"/>
      <c r="S143" s="439"/>
      <c r="T143" s="439"/>
      <c r="U143" s="439"/>
      <c r="V143" s="439"/>
      <c r="W143" s="439"/>
      <c r="X143" s="439"/>
      <c r="Y143" s="439"/>
      <c r="Z143" s="439"/>
      <c r="AA143" s="439"/>
      <c r="AB143" s="439"/>
      <c r="AC143" s="439"/>
      <c r="AD143" s="439"/>
      <c r="AE143" s="439"/>
      <c r="AF143" s="439"/>
      <c r="AG143" s="439"/>
      <c r="AH143" s="439"/>
      <c r="AI143" s="439"/>
      <c r="AJ143" s="439"/>
      <c r="AK143" s="439"/>
      <c r="AL143" s="439"/>
      <c r="AM143" s="439"/>
      <c r="AN143" s="439"/>
      <c r="AO143" s="439"/>
      <c r="AP143" s="439"/>
      <c r="AQ143" s="439"/>
      <c r="AR143" s="439"/>
      <c r="AS143" s="439"/>
      <c r="AT143" s="439"/>
      <c r="AU143" s="439"/>
      <c r="AV143" s="439"/>
      <c r="AW143" s="439"/>
      <c r="AX143" s="439"/>
      <c r="AY143" s="439"/>
      <c r="AZ143" s="439"/>
      <c r="BA143" s="439"/>
      <c r="BB143" s="439"/>
      <c r="BC143" s="439"/>
      <c r="BD143" s="439"/>
      <c r="BE143" s="439"/>
      <c r="BF143" s="439"/>
      <c r="BG143" s="439"/>
      <c r="BH143" s="439"/>
      <c r="BI143" s="439"/>
      <c r="BJ143" s="439"/>
    </row>
    <row r="144" spans="1:62">
      <c r="A144" s="439"/>
      <c r="B144" s="439"/>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439"/>
      <c r="BA144" s="439"/>
      <c r="BB144" s="439"/>
      <c r="BC144" s="439"/>
      <c r="BD144" s="439"/>
      <c r="BE144" s="439"/>
      <c r="BF144" s="439"/>
      <c r="BG144" s="439"/>
      <c r="BH144" s="439"/>
      <c r="BI144" s="439"/>
      <c r="BJ144" s="439"/>
    </row>
    <row r="145" spans="1:62">
      <c r="A145" s="439"/>
      <c r="B145" s="439"/>
      <c r="C145" s="439"/>
      <c r="D145" s="439"/>
      <c r="E145" s="439"/>
      <c r="F145" s="439"/>
      <c r="G145" s="439"/>
      <c r="H145" s="439"/>
      <c r="I145" s="439"/>
      <c r="J145" s="439"/>
      <c r="K145" s="439"/>
      <c r="L145" s="439"/>
      <c r="M145" s="439"/>
      <c r="N145" s="439"/>
      <c r="O145" s="439"/>
      <c r="P145" s="439"/>
      <c r="Q145" s="439"/>
      <c r="R145" s="439"/>
      <c r="S145" s="439"/>
      <c r="T145" s="439"/>
      <c r="U145" s="439"/>
      <c r="V145" s="439"/>
      <c r="W145" s="439"/>
      <c r="X145" s="439"/>
      <c r="Y145" s="439"/>
      <c r="Z145" s="439"/>
      <c r="AA145" s="439"/>
      <c r="AB145" s="439"/>
      <c r="AC145" s="439"/>
      <c r="AD145" s="439"/>
      <c r="AE145" s="439"/>
      <c r="AF145" s="439"/>
      <c r="AG145" s="439"/>
      <c r="AH145" s="439"/>
      <c r="AI145" s="439"/>
      <c r="AJ145" s="439"/>
      <c r="AK145" s="439"/>
      <c r="AL145" s="439"/>
      <c r="AM145" s="439"/>
      <c r="AN145" s="439"/>
      <c r="AO145" s="439"/>
      <c r="AP145" s="439"/>
      <c r="AQ145" s="439"/>
      <c r="AR145" s="439"/>
      <c r="AS145" s="439"/>
      <c r="AT145" s="439"/>
      <c r="AU145" s="439"/>
      <c r="AV145" s="439"/>
      <c r="AW145" s="439"/>
      <c r="AX145" s="439"/>
      <c r="AY145" s="439"/>
      <c r="AZ145" s="439"/>
      <c r="BA145" s="439"/>
      <c r="BB145" s="439"/>
      <c r="BC145" s="439"/>
      <c r="BD145" s="439"/>
      <c r="BE145" s="439"/>
      <c r="BF145" s="439"/>
      <c r="BG145" s="439"/>
      <c r="BH145" s="439"/>
      <c r="BI145" s="439"/>
      <c r="BJ145" s="439"/>
    </row>
    <row r="146" spans="1:62">
      <c r="A146" s="439"/>
      <c r="B146" s="439"/>
      <c r="C146" s="439"/>
      <c r="D146" s="439"/>
      <c r="E146" s="439"/>
      <c r="F146" s="439"/>
      <c r="G146" s="439"/>
      <c r="H146" s="439"/>
      <c r="I146" s="439"/>
      <c r="J146" s="439"/>
      <c r="K146" s="439"/>
      <c r="L146" s="439"/>
      <c r="M146" s="439"/>
      <c r="N146" s="439"/>
      <c r="O146" s="439"/>
      <c r="P146" s="439"/>
      <c r="Q146" s="439"/>
      <c r="R146" s="439"/>
      <c r="S146" s="439"/>
      <c r="T146" s="439"/>
      <c r="U146" s="439"/>
      <c r="V146" s="439"/>
      <c r="W146" s="439"/>
      <c r="X146" s="439"/>
      <c r="Y146" s="439"/>
      <c r="Z146" s="439"/>
      <c r="AA146" s="439"/>
      <c r="AB146" s="439"/>
      <c r="AC146" s="439"/>
      <c r="AD146" s="439"/>
      <c r="AE146" s="439"/>
      <c r="AF146" s="439"/>
      <c r="AG146" s="439"/>
      <c r="AH146" s="439"/>
      <c r="AI146" s="439"/>
      <c r="AJ146" s="439"/>
      <c r="AK146" s="439"/>
      <c r="AL146" s="439"/>
      <c r="AM146" s="439"/>
      <c r="AN146" s="439"/>
      <c r="AO146" s="439"/>
      <c r="AP146" s="439"/>
      <c r="AQ146" s="439"/>
      <c r="AR146" s="439"/>
      <c r="AS146" s="439"/>
      <c r="AT146" s="439"/>
      <c r="AU146" s="439"/>
      <c r="AV146" s="439"/>
      <c r="AW146" s="439"/>
      <c r="AX146" s="439"/>
      <c r="AY146" s="439"/>
      <c r="AZ146" s="439"/>
      <c r="BA146" s="439"/>
      <c r="BB146" s="439"/>
      <c r="BC146" s="439"/>
      <c r="BD146" s="439"/>
      <c r="BE146" s="439"/>
      <c r="BF146" s="439"/>
      <c r="BG146" s="439"/>
      <c r="BH146" s="439"/>
      <c r="BI146" s="439"/>
      <c r="BJ146" s="439"/>
    </row>
    <row r="147" spans="1:62">
      <c r="A147" s="439"/>
      <c r="B147" s="439"/>
      <c r="C147" s="439"/>
      <c r="D147" s="439"/>
      <c r="E147" s="439"/>
      <c r="F147" s="439"/>
      <c r="G147" s="439"/>
      <c r="H147" s="439"/>
      <c r="I147" s="439"/>
      <c r="J147" s="439"/>
      <c r="K147" s="439"/>
      <c r="L147" s="439"/>
      <c r="M147" s="439"/>
      <c r="N147" s="439"/>
      <c r="O147" s="439"/>
      <c r="P147" s="439"/>
      <c r="Q147" s="439"/>
      <c r="R147" s="439"/>
      <c r="S147" s="439"/>
      <c r="T147" s="439"/>
      <c r="U147" s="439"/>
      <c r="V147" s="439"/>
      <c r="W147" s="439"/>
      <c r="X147" s="439"/>
      <c r="Y147" s="439"/>
      <c r="Z147" s="439"/>
      <c r="AA147" s="439"/>
      <c r="AB147" s="439"/>
      <c r="AC147" s="439"/>
      <c r="AD147" s="439"/>
      <c r="AE147" s="439"/>
      <c r="AF147" s="439"/>
      <c r="AG147" s="439"/>
      <c r="AH147" s="439"/>
      <c r="AI147" s="439"/>
      <c r="AJ147" s="439"/>
      <c r="AK147" s="439"/>
      <c r="AL147" s="439"/>
      <c r="AM147" s="439"/>
      <c r="AN147" s="439"/>
      <c r="AO147" s="439"/>
      <c r="AP147" s="439"/>
      <c r="AQ147" s="439"/>
      <c r="AR147" s="439"/>
      <c r="AS147" s="439"/>
      <c r="AT147" s="439"/>
      <c r="AU147" s="439"/>
      <c r="AV147" s="439"/>
      <c r="AW147" s="439"/>
      <c r="AX147" s="439"/>
      <c r="AY147" s="439"/>
      <c r="AZ147" s="439"/>
      <c r="BA147" s="439"/>
      <c r="BB147" s="439"/>
      <c r="BC147" s="439"/>
      <c r="BD147" s="439"/>
      <c r="BE147" s="439"/>
      <c r="BF147" s="439"/>
      <c r="BG147" s="439"/>
      <c r="BH147" s="439"/>
      <c r="BI147" s="439"/>
      <c r="BJ147" s="439"/>
    </row>
    <row r="148" spans="1:62">
      <c r="A148" s="439"/>
      <c r="B148" s="439"/>
      <c r="C148" s="439"/>
      <c r="D148" s="439"/>
      <c r="E148" s="439"/>
      <c r="F148" s="439"/>
      <c r="G148" s="439"/>
      <c r="H148" s="439"/>
      <c r="I148" s="439"/>
      <c r="J148" s="439"/>
      <c r="K148" s="439"/>
      <c r="L148" s="439"/>
      <c r="M148" s="439"/>
      <c r="N148" s="439"/>
      <c r="O148" s="439"/>
      <c r="P148" s="439"/>
      <c r="Q148" s="439"/>
      <c r="R148" s="439"/>
      <c r="S148" s="439"/>
      <c r="T148" s="439"/>
      <c r="U148" s="439"/>
      <c r="V148" s="439"/>
      <c r="W148" s="439"/>
      <c r="X148" s="439"/>
      <c r="Y148" s="439"/>
      <c r="Z148" s="439"/>
      <c r="AA148" s="439"/>
      <c r="AB148" s="439"/>
      <c r="AC148" s="439"/>
      <c r="AD148" s="439"/>
      <c r="AE148" s="439"/>
      <c r="AF148" s="439"/>
      <c r="AG148" s="439"/>
      <c r="AH148" s="439"/>
      <c r="AI148" s="439"/>
      <c r="AJ148" s="439"/>
      <c r="AK148" s="439"/>
      <c r="AL148" s="439"/>
      <c r="AM148" s="439"/>
      <c r="AN148" s="439"/>
      <c r="AO148" s="439"/>
      <c r="AP148" s="439"/>
      <c r="AQ148" s="439"/>
      <c r="AR148" s="439"/>
      <c r="AS148" s="439"/>
      <c r="AT148" s="439"/>
      <c r="AU148" s="439"/>
      <c r="AV148" s="439"/>
      <c r="AW148" s="439"/>
      <c r="AX148" s="439"/>
      <c r="AY148" s="439"/>
      <c r="AZ148" s="439"/>
      <c r="BA148" s="439"/>
      <c r="BB148" s="439"/>
      <c r="BC148" s="439"/>
      <c r="BD148" s="439"/>
      <c r="BE148" s="439"/>
      <c r="BF148" s="439"/>
      <c r="BG148" s="439"/>
      <c r="BH148" s="439"/>
      <c r="BI148" s="439"/>
      <c r="BJ148" s="439"/>
    </row>
    <row r="149" spans="1:62">
      <c r="A149" s="439"/>
      <c r="B149" s="439"/>
      <c r="C149" s="439"/>
      <c r="D149" s="439"/>
      <c r="E149" s="439"/>
      <c r="F149" s="439"/>
      <c r="G149" s="439"/>
      <c r="H149" s="439"/>
      <c r="I149" s="439"/>
      <c r="J149" s="439"/>
      <c r="K149" s="439"/>
      <c r="L149" s="439"/>
      <c r="M149" s="439"/>
      <c r="N149" s="439"/>
      <c r="O149" s="439"/>
      <c r="P149" s="439"/>
      <c r="Q149" s="439"/>
      <c r="R149" s="439"/>
      <c r="S149" s="439"/>
      <c r="T149" s="439"/>
      <c r="U149" s="439"/>
      <c r="V149" s="439"/>
      <c r="W149" s="439"/>
      <c r="X149" s="439"/>
      <c r="Y149" s="439"/>
      <c r="Z149" s="439"/>
      <c r="AA149" s="439"/>
      <c r="AB149" s="439"/>
      <c r="AC149" s="439"/>
      <c r="AD149" s="439"/>
      <c r="AE149" s="439"/>
      <c r="AF149" s="439"/>
      <c r="AG149" s="439"/>
      <c r="AH149" s="439"/>
      <c r="AI149" s="439"/>
      <c r="AJ149" s="439"/>
      <c r="AK149" s="439"/>
      <c r="AL149" s="439"/>
      <c r="AM149" s="439"/>
      <c r="AN149" s="439"/>
      <c r="AO149" s="439"/>
      <c r="AP149" s="439"/>
      <c r="AQ149" s="439"/>
      <c r="AR149" s="439"/>
      <c r="AS149" s="439"/>
      <c r="AT149" s="439"/>
      <c r="AU149" s="439"/>
      <c r="AV149" s="439"/>
      <c r="AW149" s="439"/>
      <c r="AX149" s="439"/>
      <c r="AY149" s="439"/>
      <c r="AZ149" s="439"/>
      <c r="BA149" s="439"/>
      <c r="BB149" s="439"/>
      <c r="BC149" s="439"/>
      <c r="BD149" s="439"/>
      <c r="BE149" s="439"/>
      <c r="BF149" s="439"/>
      <c r="BG149" s="439"/>
      <c r="BH149" s="439"/>
      <c r="BI149" s="439"/>
      <c r="BJ149" s="439"/>
    </row>
    <row r="150" spans="1:62">
      <c r="A150" s="439"/>
      <c r="B150" s="439"/>
      <c r="C150" s="439"/>
      <c r="D150" s="439"/>
      <c r="E150" s="439"/>
      <c r="F150" s="439"/>
      <c r="G150" s="439"/>
      <c r="H150" s="439"/>
      <c r="I150" s="439"/>
      <c r="J150" s="439"/>
      <c r="K150" s="439"/>
      <c r="L150" s="439"/>
      <c r="M150" s="439"/>
      <c r="N150" s="439"/>
      <c r="O150" s="439"/>
      <c r="P150" s="439"/>
      <c r="Q150" s="439"/>
      <c r="R150" s="439"/>
      <c r="S150" s="439"/>
      <c r="T150" s="439"/>
      <c r="U150" s="439"/>
      <c r="V150" s="439"/>
      <c r="W150" s="439"/>
      <c r="X150" s="439"/>
      <c r="Y150" s="439"/>
      <c r="Z150" s="439"/>
      <c r="AA150" s="439"/>
      <c r="AB150" s="439"/>
      <c r="AC150" s="439"/>
      <c r="AD150" s="439"/>
      <c r="AE150" s="439"/>
      <c r="AF150" s="439"/>
      <c r="AG150" s="439"/>
      <c r="AH150" s="439"/>
      <c r="AI150" s="439"/>
      <c r="AJ150" s="439"/>
      <c r="AK150" s="439"/>
      <c r="AL150" s="439"/>
      <c r="AM150" s="439"/>
      <c r="AN150" s="439"/>
      <c r="AO150" s="439"/>
      <c r="AP150" s="439"/>
      <c r="AQ150" s="439"/>
      <c r="AR150" s="439"/>
      <c r="AS150" s="439"/>
      <c r="AT150" s="439"/>
      <c r="AU150" s="439"/>
      <c r="AV150" s="439"/>
      <c r="AW150" s="439"/>
      <c r="AX150" s="439"/>
      <c r="AY150" s="439"/>
      <c r="AZ150" s="439"/>
      <c r="BA150" s="439"/>
      <c r="BB150" s="439"/>
      <c r="BC150" s="439"/>
      <c r="BD150" s="439"/>
      <c r="BE150" s="439"/>
      <c r="BF150" s="439"/>
      <c r="BG150" s="439"/>
      <c r="BH150" s="439"/>
      <c r="BI150" s="439"/>
      <c r="BJ150" s="439"/>
    </row>
    <row r="151" spans="1:62">
      <c r="A151" s="439"/>
      <c r="B151" s="439"/>
      <c r="C151" s="439"/>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439"/>
      <c r="AJ151" s="439"/>
      <c r="AK151" s="439"/>
      <c r="AL151" s="439"/>
      <c r="AM151" s="439"/>
      <c r="AN151" s="439"/>
      <c r="AO151" s="439"/>
      <c r="AP151" s="439"/>
      <c r="AQ151" s="439"/>
      <c r="AR151" s="439"/>
      <c r="AS151" s="439"/>
      <c r="AT151" s="439"/>
      <c r="AU151" s="439"/>
      <c r="AV151" s="439"/>
      <c r="AW151" s="439"/>
      <c r="AX151" s="439"/>
      <c r="AY151" s="439"/>
      <c r="AZ151" s="439"/>
      <c r="BA151" s="439"/>
      <c r="BB151" s="439"/>
      <c r="BC151" s="439"/>
      <c r="BD151" s="439"/>
      <c r="BE151" s="439"/>
      <c r="BF151" s="439"/>
      <c r="BG151" s="439"/>
      <c r="BH151" s="439"/>
      <c r="BI151" s="439"/>
      <c r="BJ151" s="439"/>
    </row>
    <row r="152" spans="1:62">
      <c r="A152" s="439"/>
      <c r="B152" s="439"/>
      <c r="C152" s="439"/>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39"/>
      <c r="AL152" s="439"/>
      <c r="AM152" s="439"/>
      <c r="AN152" s="439"/>
      <c r="AO152" s="439"/>
      <c r="AP152" s="439"/>
      <c r="AQ152" s="439"/>
      <c r="AR152" s="439"/>
      <c r="AS152" s="439"/>
      <c r="AT152" s="439"/>
      <c r="AU152" s="439"/>
      <c r="AV152" s="439"/>
      <c r="AW152" s="439"/>
      <c r="AX152" s="439"/>
      <c r="AY152" s="439"/>
      <c r="AZ152" s="439"/>
      <c r="BA152" s="439"/>
      <c r="BB152" s="439"/>
      <c r="BC152" s="439"/>
      <c r="BD152" s="439"/>
      <c r="BE152" s="439"/>
      <c r="BF152" s="439"/>
      <c r="BG152" s="439"/>
      <c r="BH152" s="439"/>
      <c r="BI152" s="439"/>
      <c r="BJ152" s="439"/>
    </row>
    <row r="153" spans="1:62">
      <c r="A153" s="439"/>
      <c r="B153" s="439"/>
      <c r="C153" s="439"/>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39"/>
      <c r="AC153" s="439"/>
      <c r="AD153" s="439"/>
      <c r="AE153" s="439"/>
      <c r="AF153" s="439"/>
      <c r="AG153" s="439"/>
      <c r="AH153" s="439"/>
      <c r="AI153" s="439"/>
      <c r="AJ153" s="439"/>
      <c r="AK153" s="439"/>
      <c r="AL153" s="439"/>
      <c r="AM153" s="439"/>
      <c r="AN153" s="439"/>
      <c r="AO153" s="439"/>
      <c r="AP153" s="439"/>
      <c r="AQ153" s="439"/>
      <c r="AR153" s="439"/>
      <c r="AS153" s="439"/>
      <c r="AT153" s="439"/>
      <c r="AU153" s="439"/>
      <c r="AV153" s="439"/>
      <c r="AW153" s="439"/>
      <c r="AX153" s="439"/>
      <c r="AY153" s="439"/>
      <c r="AZ153" s="439"/>
      <c r="BA153" s="439"/>
      <c r="BB153" s="439"/>
      <c r="BC153" s="439"/>
      <c r="BD153" s="439"/>
      <c r="BE153" s="439"/>
      <c r="BF153" s="439"/>
      <c r="BG153" s="439"/>
      <c r="BH153" s="439"/>
      <c r="BI153" s="439"/>
      <c r="BJ153" s="439"/>
    </row>
    <row r="154" spans="1:62">
      <c r="A154" s="439"/>
      <c r="B154" s="439"/>
      <c r="C154" s="439"/>
      <c r="D154" s="439"/>
      <c r="E154" s="439"/>
      <c r="F154" s="439"/>
      <c r="G154" s="439"/>
      <c r="H154" s="439"/>
      <c r="I154" s="439"/>
      <c r="J154" s="439"/>
      <c r="K154" s="439"/>
      <c r="L154" s="439"/>
      <c r="M154" s="439"/>
      <c r="N154" s="439"/>
      <c r="O154" s="439"/>
      <c r="P154" s="439"/>
      <c r="Q154" s="439"/>
      <c r="R154" s="439"/>
      <c r="S154" s="439"/>
      <c r="T154" s="439"/>
      <c r="U154" s="439"/>
      <c r="V154" s="439"/>
      <c r="W154" s="439"/>
      <c r="X154" s="439"/>
      <c r="Y154" s="439"/>
      <c r="Z154" s="439"/>
      <c r="AA154" s="439"/>
      <c r="AB154" s="439"/>
      <c r="AC154" s="439"/>
      <c r="AD154" s="439"/>
      <c r="AE154" s="439"/>
      <c r="AF154" s="439"/>
      <c r="AG154" s="439"/>
      <c r="AH154" s="439"/>
      <c r="AI154" s="439"/>
      <c r="AJ154" s="439"/>
      <c r="AK154" s="439"/>
      <c r="AL154" s="439"/>
      <c r="AM154" s="439"/>
      <c r="AN154" s="439"/>
      <c r="AO154" s="439"/>
      <c r="AP154" s="439"/>
      <c r="AQ154" s="439"/>
      <c r="AR154" s="439"/>
      <c r="AS154" s="439"/>
      <c r="AT154" s="439"/>
      <c r="AU154" s="439"/>
      <c r="AV154" s="439"/>
      <c r="AW154" s="439"/>
      <c r="AX154" s="439"/>
      <c r="AY154" s="439"/>
      <c r="AZ154" s="439"/>
      <c r="BA154" s="439"/>
      <c r="BB154" s="439"/>
      <c r="BC154" s="439"/>
      <c r="BD154" s="439"/>
      <c r="BE154" s="439"/>
      <c r="BF154" s="439"/>
      <c r="BG154" s="439"/>
      <c r="BH154" s="439"/>
      <c r="BI154" s="439"/>
      <c r="BJ154" s="439"/>
    </row>
    <row r="155" spans="1:62">
      <c r="A155" s="439"/>
      <c r="B155" s="439"/>
      <c r="C155" s="439"/>
      <c r="D155" s="439"/>
      <c r="E155" s="439"/>
      <c r="F155" s="439"/>
      <c r="G155" s="439"/>
      <c r="H155" s="439"/>
      <c r="I155" s="439"/>
      <c r="J155" s="439"/>
      <c r="K155" s="439"/>
      <c r="L155" s="439"/>
      <c r="M155" s="439"/>
      <c r="N155" s="439"/>
      <c r="O155" s="439"/>
      <c r="P155" s="439"/>
      <c r="Q155" s="439"/>
      <c r="R155" s="439"/>
      <c r="S155" s="439"/>
      <c r="T155" s="439"/>
      <c r="U155" s="439"/>
      <c r="V155" s="439"/>
      <c r="W155" s="439"/>
      <c r="X155" s="439"/>
      <c r="Y155" s="439"/>
      <c r="Z155" s="439"/>
      <c r="AA155" s="439"/>
      <c r="AB155" s="439"/>
      <c r="AC155" s="439"/>
      <c r="AD155" s="439"/>
      <c r="AE155" s="439"/>
      <c r="AF155" s="439"/>
      <c r="AG155" s="439"/>
      <c r="AH155" s="439"/>
      <c r="AI155" s="439"/>
      <c r="AJ155" s="439"/>
      <c r="AK155" s="439"/>
      <c r="AL155" s="439"/>
      <c r="AM155" s="439"/>
      <c r="AN155" s="439"/>
      <c r="AO155" s="439"/>
      <c r="AP155" s="439"/>
      <c r="AQ155" s="439"/>
      <c r="AR155" s="439"/>
      <c r="AS155" s="439"/>
      <c r="AT155" s="439"/>
      <c r="AU155" s="439"/>
      <c r="AV155" s="439"/>
      <c r="AW155" s="439"/>
      <c r="AX155" s="439"/>
      <c r="AY155" s="439"/>
      <c r="AZ155" s="439"/>
      <c r="BA155" s="439"/>
      <c r="BB155" s="439"/>
      <c r="BC155" s="439"/>
      <c r="BD155" s="439"/>
      <c r="BE155" s="439"/>
      <c r="BF155" s="439"/>
      <c r="BG155" s="439"/>
      <c r="BH155" s="439"/>
      <c r="BI155" s="439"/>
      <c r="BJ155" s="439"/>
    </row>
    <row r="156" spans="1:62">
      <c r="A156" s="439"/>
      <c r="B156" s="439"/>
      <c r="C156" s="439"/>
      <c r="D156" s="439"/>
      <c r="E156" s="439"/>
      <c r="F156" s="439"/>
      <c r="G156" s="439"/>
      <c r="H156" s="439"/>
      <c r="I156" s="439"/>
      <c r="J156" s="439"/>
      <c r="K156" s="439"/>
      <c r="L156" s="439"/>
      <c r="M156" s="439"/>
      <c r="N156" s="439"/>
      <c r="O156" s="439"/>
      <c r="P156" s="439"/>
      <c r="Q156" s="439"/>
      <c r="R156" s="439"/>
      <c r="S156" s="439"/>
      <c r="T156" s="439"/>
      <c r="U156" s="439"/>
      <c r="V156" s="439"/>
      <c r="W156" s="439"/>
      <c r="X156" s="439"/>
      <c r="Y156" s="439"/>
      <c r="Z156" s="439"/>
      <c r="AA156" s="439"/>
      <c r="AB156" s="439"/>
      <c r="AC156" s="439"/>
      <c r="AD156" s="439"/>
      <c r="AE156" s="439"/>
      <c r="AF156" s="439"/>
      <c r="AG156" s="439"/>
      <c r="AH156" s="439"/>
      <c r="AI156" s="439"/>
      <c r="AJ156" s="439"/>
      <c r="AK156" s="439"/>
      <c r="AL156" s="439"/>
      <c r="AM156" s="439"/>
      <c r="AN156" s="439"/>
      <c r="AO156" s="439"/>
      <c r="AP156" s="439"/>
      <c r="AQ156" s="439"/>
      <c r="AR156" s="439"/>
      <c r="AS156" s="439"/>
      <c r="AT156" s="439"/>
      <c r="AU156" s="439"/>
      <c r="AV156" s="439"/>
      <c r="AW156" s="439"/>
      <c r="AX156" s="439"/>
      <c r="AY156" s="439"/>
      <c r="AZ156" s="439"/>
      <c r="BA156" s="439"/>
      <c r="BB156" s="439"/>
      <c r="BC156" s="439"/>
      <c r="BD156" s="439"/>
      <c r="BE156" s="439"/>
      <c r="BF156" s="439"/>
      <c r="BG156" s="439"/>
      <c r="BH156" s="439"/>
      <c r="BI156" s="439"/>
      <c r="BJ156" s="439"/>
    </row>
    <row r="157" spans="1:62">
      <c r="A157" s="439"/>
      <c r="B157" s="439"/>
      <c r="C157" s="439"/>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c r="AA157" s="439"/>
      <c r="AB157" s="439"/>
      <c r="AC157" s="439"/>
      <c r="AD157" s="439"/>
      <c r="AE157" s="439"/>
      <c r="AF157" s="439"/>
      <c r="AG157" s="439"/>
      <c r="AH157" s="439"/>
      <c r="AI157" s="439"/>
      <c r="AJ157" s="439"/>
      <c r="AK157" s="439"/>
      <c r="AL157" s="439"/>
      <c r="AM157" s="439"/>
      <c r="AN157" s="439"/>
      <c r="AO157" s="439"/>
      <c r="AP157" s="439"/>
      <c r="AQ157" s="439"/>
      <c r="AR157" s="439"/>
      <c r="AS157" s="439"/>
      <c r="AT157" s="439"/>
      <c r="AU157" s="439"/>
      <c r="AV157" s="439"/>
      <c r="AW157" s="439"/>
      <c r="AX157" s="439"/>
      <c r="AY157" s="439"/>
      <c r="AZ157" s="439"/>
      <c r="BA157" s="439"/>
      <c r="BB157" s="439"/>
      <c r="BC157" s="439"/>
      <c r="BD157" s="439"/>
      <c r="BE157" s="439"/>
      <c r="BF157" s="439"/>
      <c r="BG157" s="439"/>
      <c r="BH157" s="439"/>
      <c r="BI157" s="439"/>
      <c r="BJ157" s="439"/>
    </row>
    <row r="158" spans="1:62">
      <c r="A158" s="439"/>
      <c r="B158" s="439"/>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39"/>
      <c r="AZ158" s="439"/>
      <c r="BA158" s="439"/>
      <c r="BB158" s="439"/>
      <c r="BC158" s="439"/>
      <c r="BD158" s="439"/>
      <c r="BE158" s="439"/>
      <c r="BF158" s="439"/>
      <c r="BG158" s="439"/>
      <c r="BH158" s="439"/>
      <c r="BI158" s="439"/>
      <c r="BJ158" s="439"/>
    </row>
    <row r="159" spans="1:62">
      <c r="A159" s="439"/>
      <c r="B159" s="439"/>
      <c r="C159" s="439"/>
      <c r="D159" s="439"/>
      <c r="E159" s="439"/>
      <c r="F159" s="439"/>
      <c r="G159" s="439"/>
      <c r="H159" s="439"/>
      <c r="I159" s="439"/>
      <c r="J159" s="439"/>
      <c r="K159" s="439"/>
      <c r="L159" s="439"/>
      <c r="M159" s="439"/>
      <c r="N159" s="439"/>
      <c r="O159" s="439"/>
      <c r="P159" s="439"/>
      <c r="Q159" s="439"/>
      <c r="R159" s="439"/>
      <c r="S159" s="439"/>
      <c r="T159" s="439"/>
      <c r="U159" s="439"/>
      <c r="V159" s="439"/>
      <c r="W159" s="439"/>
      <c r="X159" s="439"/>
      <c r="Y159" s="439"/>
      <c r="Z159" s="439"/>
      <c r="AA159" s="439"/>
      <c r="AB159" s="439"/>
      <c r="AC159" s="439"/>
      <c r="AD159" s="439"/>
      <c r="AE159" s="439"/>
      <c r="AF159" s="439"/>
      <c r="AG159" s="439"/>
      <c r="AH159" s="439"/>
      <c r="AI159" s="439"/>
      <c r="AJ159" s="439"/>
      <c r="AK159" s="439"/>
      <c r="AL159" s="439"/>
      <c r="AM159" s="439"/>
      <c r="AN159" s="439"/>
      <c r="AO159" s="439"/>
      <c r="AP159" s="439"/>
      <c r="AQ159" s="439"/>
      <c r="AR159" s="439"/>
      <c r="AS159" s="439"/>
      <c r="AT159" s="439"/>
      <c r="AU159" s="439"/>
      <c r="AV159" s="439"/>
      <c r="AW159" s="439"/>
      <c r="AX159" s="439"/>
      <c r="AY159" s="439"/>
      <c r="AZ159" s="439"/>
      <c r="BA159" s="439"/>
      <c r="BB159" s="439"/>
      <c r="BC159" s="439"/>
      <c r="BD159" s="439"/>
      <c r="BE159" s="439"/>
      <c r="BF159" s="439"/>
      <c r="BG159" s="439"/>
      <c r="BH159" s="439"/>
      <c r="BI159" s="439"/>
      <c r="BJ159" s="439"/>
    </row>
    <row r="160" spans="1:62">
      <c r="A160" s="439"/>
      <c r="B160" s="439"/>
      <c r="C160" s="439"/>
      <c r="D160" s="439"/>
      <c r="E160" s="439"/>
      <c r="F160" s="439"/>
      <c r="G160" s="439"/>
      <c r="H160" s="439"/>
      <c r="I160" s="439"/>
      <c r="J160" s="439"/>
      <c r="K160" s="439"/>
      <c r="L160" s="439"/>
      <c r="M160" s="439"/>
      <c r="N160" s="439"/>
      <c r="O160" s="439"/>
      <c r="P160" s="439"/>
      <c r="Q160" s="439"/>
      <c r="R160" s="439"/>
      <c r="S160" s="439"/>
      <c r="T160" s="439"/>
      <c r="U160" s="439"/>
      <c r="V160" s="439"/>
      <c r="W160" s="439"/>
      <c r="X160" s="439"/>
      <c r="Y160" s="439"/>
      <c r="Z160" s="439"/>
      <c r="AA160" s="439"/>
      <c r="AB160" s="439"/>
      <c r="AC160" s="439"/>
      <c r="AD160" s="439"/>
      <c r="AE160" s="439"/>
      <c r="AF160" s="439"/>
      <c r="AG160" s="439"/>
      <c r="AH160" s="439"/>
      <c r="AI160" s="439"/>
      <c r="AJ160" s="439"/>
      <c r="AK160" s="439"/>
      <c r="AL160" s="439"/>
      <c r="AM160" s="439"/>
      <c r="AN160" s="439"/>
      <c r="AO160" s="439"/>
      <c r="AP160" s="439"/>
      <c r="AQ160" s="439"/>
      <c r="AR160" s="439"/>
      <c r="AS160" s="439"/>
      <c r="AT160" s="439"/>
      <c r="AU160" s="439"/>
      <c r="AV160" s="439"/>
      <c r="AW160" s="439"/>
      <c r="AX160" s="439"/>
      <c r="AY160" s="439"/>
      <c r="AZ160" s="439"/>
      <c r="BA160" s="439"/>
      <c r="BB160" s="439"/>
      <c r="BC160" s="439"/>
      <c r="BD160" s="439"/>
      <c r="BE160" s="439"/>
      <c r="BF160" s="439"/>
      <c r="BG160" s="439"/>
      <c r="BH160" s="439"/>
      <c r="BI160" s="439"/>
      <c r="BJ160" s="439"/>
    </row>
    <row r="161" spans="1:62">
      <c r="A161" s="439"/>
      <c r="B161" s="439"/>
      <c r="C161" s="439"/>
      <c r="D161" s="439"/>
      <c r="E161" s="439"/>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39"/>
      <c r="AC161" s="439"/>
      <c r="AD161" s="439"/>
      <c r="AE161" s="439"/>
      <c r="AF161" s="439"/>
      <c r="AG161" s="439"/>
      <c r="AH161" s="439"/>
      <c r="AI161" s="439"/>
      <c r="AJ161" s="439"/>
      <c r="AK161" s="439"/>
      <c r="AL161" s="439"/>
      <c r="AM161" s="439"/>
      <c r="AN161" s="439"/>
      <c r="AO161" s="439"/>
      <c r="AP161" s="439"/>
      <c r="AQ161" s="439"/>
      <c r="AR161" s="439"/>
      <c r="AS161" s="439"/>
      <c r="AT161" s="439"/>
      <c r="AU161" s="439"/>
      <c r="AV161" s="439"/>
      <c r="AW161" s="439"/>
      <c r="AX161" s="439"/>
      <c r="AY161" s="439"/>
      <c r="AZ161" s="439"/>
      <c r="BA161" s="439"/>
      <c r="BB161" s="439"/>
      <c r="BC161" s="439"/>
      <c r="BD161" s="439"/>
      <c r="BE161" s="439"/>
      <c r="BF161" s="439"/>
      <c r="BG161" s="439"/>
      <c r="BH161" s="439"/>
      <c r="BI161" s="439"/>
      <c r="BJ161" s="439"/>
    </row>
    <row r="162" spans="1:62">
      <c r="A162" s="439"/>
      <c r="B162" s="439"/>
      <c r="C162" s="439"/>
      <c r="D162" s="439"/>
      <c r="E162" s="439"/>
      <c r="F162" s="439"/>
      <c r="G162" s="439"/>
      <c r="H162" s="439"/>
      <c r="I162" s="439"/>
      <c r="J162" s="439"/>
      <c r="K162" s="439"/>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c r="AO162" s="439"/>
      <c r="AP162" s="439"/>
      <c r="AQ162" s="439"/>
      <c r="AR162" s="439"/>
      <c r="AS162" s="439"/>
      <c r="AT162" s="439"/>
      <c r="AU162" s="439"/>
      <c r="AV162" s="439"/>
      <c r="AW162" s="439"/>
      <c r="AX162" s="439"/>
      <c r="AY162" s="439"/>
      <c r="AZ162" s="439"/>
      <c r="BA162" s="439"/>
      <c r="BB162" s="439"/>
      <c r="BC162" s="439"/>
      <c r="BD162" s="439"/>
      <c r="BE162" s="439"/>
      <c r="BF162" s="439"/>
      <c r="BG162" s="439"/>
      <c r="BH162" s="439"/>
      <c r="BI162" s="439"/>
      <c r="BJ162" s="439"/>
    </row>
    <row r="163" spans="1:62">
      <c r="A163" s="439"/>
      <c r="B163" s="439"/>
      <c r="C163" s="439"/>
      <c r="D163" s="439"/>
      <c r="E163" s="439"/>
      <c r="F163" s="439"/>
      <c r="G163" s="439"/>
      <c r="H163" s="439"/>
      <c r="I163" s="439"/>
      <c r="J163" s="439"/>
      <c r="K163" s="439"/>
      <c r="L163" s="439"/>
      <c r="M163" s="439"/>
      <c r="N163" s="439"/>
      <c r="O163" s="439"/>
      <c r="P163" s="439"/>
      <c r="Q163" s="439"/>
      <c r="R163" s="439"/>
      <c r="S163" s="439"/>
      <c r="T163" s="439"/>
      <c r="U163" s="439"/>
      <c r="V163" s="439"/>
      <c r="W163" s="439"/>
      <c r="X163" s="439"/>
      <c r="Y163" s="439"/>
      <c r="Z163" s="439"/>
      <c r="AA163" s="439"/>
      <c r="AB163" s="439"/>
      <c r="AC163" s="439"/>
      <c r="AD163" s="439"/>
      <c r="AE163" s="439"/>
      <c r="AF163" s="439"/>
      <c r="AG163" s="439"/>
      <c r="AH163" s="439"/>
      <c r="AI163" s="439"/>
      <c r="AJ163" s="439"/>
      <c r="AK163" s="439"/>
      <c r="AL163" s="439"/>
      <c r="AM163" s="439"/>
      <c r="AN163" s="439"/>
      <c r="AO163" s="439"/>
      <c r="AP163" s="439"/>
      <c r="AQ163" s="439"/>
      <c r="AR163" s="439"/>
      <c r="AS163" s="439"/>
      <c r="AT163" s="439"/>
      <c r="AU163" s="439"/>
      <c r="AV163" s="439"/>
      <c r="AW163" s="439"/>
      <c r="AX163" s="439"/>
      <c r="AY163" s="439"/>
      <c r="AZ163" s="439"/>
      <c r="BA163" s="439"/>
      <c r="BB163" s="439"/>
      <c r="BC163" s="439"/>
      <c r="BD163" s="439"/>
      <c r="BE163" s="439"/>
      <c r="BF163" s="439"/>
      <c r="BG163" s="439"/>
      <c r="BH163" s="439"/>
      <c r="BI163" s="439"/>
      <c r="BJ163" s="439"/>
    </row>
  </sheetData>
  <mergeCells count="19">
    <mergeCell ref="A1:C1"/>
    <mergeCell ref="F11:F12"/>
    <mergeCell ref="G11:G12"/>
    <mergeCell ref="H11:H12"/>
    <mergeCell ref="A49:U49"/>
    <mergeCell ref="D11:D12"/>
    <mergeCell ref="O11:O12"/>
    <mergeCell ref="P11:P12"/>
    <mergeCell ref="E11:E12"/>
    <mergeCell ref="A54:U54"/>
    <mergeCell ref="I11:I12"/>
    <mergeCell ref="J11:J12"/>
    <mergeCell ref="K11:K12"/>
    <mergeCell ref="L11:L12"/>
    <mergeCell ref="Q11:Q12"/>
    <mergeCell ref="R11:R12"/>
    <mergeCell ref="M11:M12"/>
    <mergeCell ref="N11:N12"/>
    <mergeCell ref="C11:C12"/>
  </mergeCells>
  <phoneticPr fontId="139" type="noConversion"/>
  <hyperlinks>
    <hyperlink ref="A3" r:id="rId1" display="http://dx.doi.org/10.1787/eco_outlook-v2012-1-en" xr:uid="{00000000-0004-0000-1300-000000000000}"/>
  </hyperlinks>
  <printOptions horizontalCentered="1"/>
  <pageMargins left="0" right="0" top="0.98425196850393704" bottom="0" header="0" footer="0"/>
  <pageSetup paperSize="9" scale="86" orientation="landscape"/>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F46"/>
  <sheetViews>
    <sheetView workbookViewId="0">
      <selection activeCell="A10" sqref="A10"/>
    </sheetView>
  </sheetViews>
  <sheetFormatPr defaultColWidth="11" defaultRowHeight="15.75"/>
  <cols>
    <col min="1" max="6" width="11.42578125" style="1278" customWidth="1"/>
    <col min="7" max="16384" width="11" style="1278"/>
  </cols>
  <sheetData>
    <row r="1" spans="1:6" ht="18.75">
      <c r="A1" s="1324" t="s">
        <v>1888</v>
      </c>
      <c r="B1" s="1325"/>
      <c r="C1" s="1325"/>
      <c r="D1" s="1284"/>
      <c r="E1" s="1284"/>
      <c r="F1" s="1284"/>
    </row>
    <row r="2" spans="1:6">
      <c r="A2" s="1284"/>
      <c r="B2" s="1284"/>
      <c r="C2" s="1284"/>
      <c r="D2" s="1284"/>
      <c r="E2" s="1284"/>
      <c r="F2" s="1284"/>
    </row>
    <row r="3" spans="1:6">
      <c r="A3" s="1285" t="s">
        <v>15</v>
      </c>
      <c r="B3" s="1284"/>
      <c r="C3" s="1284"/>
      <c r="D3" s="1284"/>
      <c r="E3" s="1284"/>
      <c r="F3" s="1284"/>
    </row>
    <row r="4" spans="1:6">
      <c r="A4" s="1284"/>
      <c r="B4" s="1284"/>
      <c r="C4" s="1284"/>
      <c r="D4" s="1284"/>
      <c r="E4" s="1284"/>
      <c r="F4" s="1284"/>
    </row>
    <row r="5" spans="1:6" ht="15.95" customHeight="1">
      <c r="A5" s="1284"/>
      <c r="B5" s="1284"/>
      <c r="C5" s="1284"/>
      <c r="D5" s="1284"/>
      <c r="E5" s="1284"/>
      <c r="F5" s="1284"/>
    </row>
    <row r="6" spans="1:6" ht="16.5" thickBot="1">
      <c r="A6" s="1380" t="s">
        <v>1737</v>
      </c>
      <c r="B6" s="1381"/>
      <c r="C6" s="1381"/>
      <c r="D6" s="1381"/>
      <c r="E6" s="1382"/>
      <c r="F6" s="1284"/>
    </row>
    <row r="8" spans="1:6" ht="48" thickBot="1">
      <c r="A8" s="1286" t="s">
        <v>1889</v>
      </c>
      <c r="B8" s="1287" t="s">
        <v>1890</v>
      </c>
      <c r="C8" s="1287" t="s">
        <v>1891</v>
      </c>
      <c r="D8" s="1288" t="s">
        <v>1892</v>
      </c>
      <c r="E8" s="1288" t="s">
        <v>1893</v>
      </c>
    </row>
    <row r="9" spans="1:6" ht="31.5">
      <c r="A9" s="1289" t="s">
        <v>1738</v>
      </c>
      <c r="B9" s="1290" t="s">
        <v>552</v>
      </c>
      <c r="C9" s="1290" t="s">
        <v>1894</v>
      </c>
      <c r="D9" s="1291" t="s">
        <v>1776</v>
      </c>
      <c r="E9" s="1291" t="s">
        <v>1895</v>
      </c>
    </row>
    <row r="10" spans="1:6" ht="31.5">
      <c r="A10" s="1292" t="s">
        <v>1739</v>
      </c>
      <c r="B10" s="1293" t="s">
        <v>546</v>
      </c>
      <c r="C10" s="1293" t="s">
        <v>1894</v>
      </c>
      <c r="D10" s="1294" t="s">
        <v>1896</v>
      </c>
      <c r="E10" s="1288" t="s">
        <v>1897</v>
      </c>
    </row>
    <row r="11" spans="1:6" ht="31.5">
      <c r="A11" s="1292" t="s">
        <v>1740</v>
      </c>
      <c r="B11" s="1293" t="s">
        <v>543</v>
      </c>
      <c r="C11" s="1293" t="s">
        <v>1894</v>
      </c>
      <c r="D11" s="1294" t="s">
        <v>1898</v>
      </c>
      <c r="E11" s="1288" t="s">
        <v>1899</v>
      </c>
    </row>
    <row r="12" spans="1:6" ht="31.5">
      <c r="A12" s="1292" t="s">
        <v>1741</v>
      </c>
      <c r="B12" s="1293" t="s">
        <v>538</v>
      </c>
      <c r="C12" s="1293" t="s">
        <v>1894</v>
      </c>
      <c r="D12" s="1294" t="s">
        <v>1900</v>
      </c>
      <c r="E12" s="1288" t="s">
        <v>1901</v>
      </c>
    </row>
    <row r="13" spans="1:6" ht="31.5">
      <c r="A13" s="1292" t="s">
        <v>1742</v>
      </c>
      <c r="B13" s="1293" t="s">
        <v>537</v>
      </c>
      <c r="C13" s="1293" t="s">
        <v>1894</v>
      </c>
      <c r="D13" s="1294" t="s">
        <v>1902</v>
      </c>
      <c r="E13" s="1288" t="s">
        <v>1903</v>
      </c>
    </row>
    <row r="14" spans="1:6" ht="31.5">
      <c r="A14" s="1292" t="s">
        <v>1743</v>
      </c>
      <c r="B14" s="1293" t="s">
        <v>2</v>
      </c>
      <c r="C14" s="1293" t="s">
        <v>1904</v>
      </c>
      <c r="D14" s="1294" t="s">
        <v>1905</v>
      </c>
      <c r="E14" s="1288" t="s">
        <v>1906</v>
      </c>
    </row>
    <row r="15" spans="1:6" ht="31.5">
      <c r="A15" s="1292" t="s">
        <v>1744</v>
      </c>
      <c r="B15" s="1293" t="s">
        <v>527</v>
      </c>
      <c r="C15" s="1293" t="s">
        <v>1894</v>
      </c>
      <c r="D15" s="1294" t="s">
        <v>1907</v>
      </c>
      <c r="E15" s="1288" t="s">
        <v>1768</v>
      </c>
    </row>
    <row r="16" spans="1:6" ht="31.5">
      <c r="A16" s="1292" t="s">
        <v>1745</v>
      </c>
      <c r="B16" s="1293" t="s">
        <v>526</v>
      </c>
      <c r="C16" s="1293" t="s">
        <v>1894</v>
      </c>
      <c r="D16" s="1294" t="s">
        <v>1908</v>
      </c>
      <c r="E16" s="1288" t="s">
        <v>1909</v>
      </c>
    </row>
    <row r="17" spans="1:5" ht="31.5">
      <c r="A17" s="1292" t="s">
        <v>1746</v>
      </c>
      <c r="B17" s="1293" t="s">
        <v>521</v>
      </c>
      <c r="C17" s="1293" t="s">
        <v>1894</v>
      </c>
      <c r="D17" s="1294" t="s">
        <v>1910</v>
      </c>
      <c r="E17" s="1288" t="s">
        <v>1911</v>
      </c>
    </row>
    <row r="18" spans="1:5" ht="31.5">
      <c r="A18" s="1292" t="s">
        <v>1747</v>
      </c>
      <c r="B18" s="1293" t="s">
        <v>519</v>
      </c>
      <c r="C18" s="1293" t="s">
        <v>1894</v>
      </c>
      <c r="D18" s="1294" t="s">
        <v>1912</v>
      </c>
      <c r="E18" s="1288" t="s">
        <v>1913</v>
      </c>
    </row>
    <row r="19" spans="1:5" ht="31.5">
      <c r="A19" s="1292" t="s">
        <v>1748</v>
      </c>
      <c r="B19" s="1293" t="s">
        <v>518</v>
      </c>
      <c r="C19" s="1293" t="s">
        <v>1894</v>
      </c>
      <c r="D19" s="1294" t="s">
        <v>1914</v>
      </c>
      <c r="E19" s="1288" t="s">
        <v>1915</v>
      </c>
    </row>
    <row r="20" spans="1:5" ht="31.5">
      <c r="A20" s="1292" t="s">
        <v>1749</v>
      </c>
      <c r="B20" s="1293" t="s">
        <v>515</v>
      </c>
      <c r="C20" s="1293" t="s">
        <v>1894</v>
      </c>
      <c r="D20" s="1294" t="s">
        <v>1916</v>
      </c>
      <c r="E20" s="1288" t="s">
        <v>1917</v>
      </c>
    </row>
    <row r="21" spans="1:5" ht="31.5">
      <c r="A21" s="1292" t="s">
        <v>1750</v>
      </c>
      <c r="B21" s="1293" t="s">
        <v>3</v>
      </c>
      <c r="C21" s="1293" t="s">
        <v>1894</v>
      </c>
      <c r="D21" s="1294" t="s">
        <v>1918</v>
      </c>
      <c r="E21" s="1288" t="s">
        <v>1919</v>
      </c>
    </row>
    <row r="22" spans="1:5" ht="31.5">
      <c r="A22" s="1292" t="s">
        <v>1752</v>
      </c>
      <c r="B22" s="1293" t="s">
        <v>513</v>
      </c>
      <c r="C22" s="1293" t="s">
        <v>1894</v>
      </c>
      <c r="D22" s="1294" t="s">
        <v>1920</v>
      </c>
      <c r="E22" s="1288" t="s">
        <v>1921</v>
      </c>
    </row>
    <row r="23" spans="1:5" ht="31.5">
      <c r="A23" s="1292" t="s">
        <v>1753</v>
      </c>
      <c r="B23" s="1293" t="s">
        <v>505</v>
      </c>
      <c r="C23" s="1293" t="s">
        <v>1894</v>
      </c>
      <c r="D23" s="1294" t="s">
        <v>1759</v>
      </c>
      <c r="E23" s="1288" t="s">
        <v>1922</v>
      </c>
    </row>
    <row r="24" spans="1:5" ht="31.5">
      <c r="A24" s="1292" t="s">
        <v>1754</v>
      </c>
      <c r="B24" s="1293" t="s">
        <v>504</v>
      </c>
      <c r="C24" s="1293" t="s">
        <v>1894</v>
      </c>
      <c r="D24" s="1294" t="s">
        <v>1923</v>
      </c>
      <c r="E24" s="1288" t="s">
        <v>1924</v>
      </c>
    </row>
    <row r="25" spans="1:5" ht="31.5">
      <c r="A25" s="1292" t="s">
        <v>1756</v>
      </c>
      <c r="B25" s="1293" t="s">
        <v>503</v>
      </c>
      <c r="C25" s="1293" t="s">
        <v>1904</v>
      </c>
      <c r="D25" s="1294" t="s">
        <v>1925</v>
      </c>
      <c r="E25" s="1288" t="s">
        <v>1926</v>
      </c>
    </row>
    <row r="26" spans="1:5" ht="31.5">
      <c r="A26" s="1292" t="s">
        <v>1757</v>
      </c>
      <c r="B26" s="1293" t="s">
        <v>502</v>
      </c>
      <c r="C26" s="1293" t="s">
        <v>1894</v>
      </c>
      <c r="D26" s="1294" t="s">
        <v>1927</v>
      </c>
      <c r="E26" s="1288" t="s">
        <v>1928</v>
      </c>
    </row>
    <row r="27" spans="1:5" ht="31.5">
      <c r="A27" s="1292" t="s">
        <v>1758</v>
      </c>
      <c r="B27" s="1293" t="s">
        <v>499</v>
      </c>
      <c r="C27" s="1293" t="s">
        <v>1894</v>
      </c>
      <c r="D27" s="1294" t="s">
        <v>1929</v>
      </c>
      <c r="E27" s="1288" t="s">
        <v>1930</v>
      </c>
    </row>
    <row r="28" spans="1:5" ht="31.5">
      <c r="A28" s="1292" t="s">
        <v>1761</v>
      </c>
      <c r="B28" s="1293" t="s">
        <v>498</v>
      </c>
      <c r="C28" s="1293" t="s">
        <v>1894</v>
      </c>
      <c r="D28" s="1294" t="s">
        <v>1931</v>
      </c>
      <c r="E28" s="1288" t="s">
        <v>1932</v>
      </c>
    </row>
    <row r="29" spans="1:5" ht="31.5">
      <c r="A29" s="1292" t="s">
        <v>1762</v>
      </c>
      <c r="B29" s="1293" t="s">
        <v>497</v>
      </c>
      <c r="C29" s="1293" t="s">
        <v>1894</v>
      </c>
      <c r="D29" s="1294" t="s">
        <v>1933</v>
      </c>
      <c r="E29" s="1288" t="s">
        <v>1916</v>
      </c>
    </row>
    <row r="30" spans="1:5" ht="31.5">
      <c r="A30" s="1292" t="s">
        <v>1763</v>
      </c>
      <c r="B30" s="1293" t="s">
        <v>495</v>
      </c>
      <c r="C30" s="1293" t="s">
        <v>1904</v>
      </c>
      <c r="D30" s="1294" t="s">
        <v>1759</v>
      </c>
      <c r="E30" s="1288" t="s">
        <v>1934</v>
      </c>
    </row>
    <row r="31" spans="1:5" ht="47.25">
      <c r="A31" s="1292" t="s">
        <v>1764</v>
      </c>
      <c r="B31" s="1293" t="s">
        <v>483</v>
      </c>
      <c r="C31" s="1293" t="s">
        <v>1894</v>
      </c>
      <c r="D31" s="1294" t="s">
        <v>1935</v>
      </c>
      <c r="E31" s="1288" t="s">
        <v>1936</v>
      </c>
    </row>
    <row r="32" spans="1:5" ht="31.5">
      <c r="A32" s="1292" t="s">
        <v>1765</v>
      </c>
      <c r="B32" s="1293" t="s">
        <v>477</v>
      </c>
      <c r="C32" s="1293" t="s">
        <v>1894</v>
      </c>
      <c r="D32" s="1294" t="s">
        <v>1937</v>
      </c>
      <c r="E32" s="1288" t="s">
        <v>1938</v>
      </c>
    </row>
    <row r="33" spans="1:5" ht="31.5">
      <c r="A33" s="1292" t="s">
        <v>1766</v>
      </c>
      <c r="B33" s="1293" t="s">
        <v>465</v>
      </c>
      <c r="C33" s="1293" t="s">
        <v>1894</v>
      </c>
      <c r="D33" s="1294" t="s">
        <v>1939</v>
      </c>
      <c r="E33" s="1288" t="s">
        <v>1940</v>
      </c>
    </row>
    <row r="34" spans="1:5" ht="31.5">
      <c r="A34" s="1292" t="s">
        <v>1767</v>
      </c>
      <c r="B34" s="1293" t="s">
        <v>457</v>
      </c>
      <c r="C34" s="1293" t="s">
        <v>1894</v>
      </c>
      <c r="D34" s="1294" t="s">
        <v>1941</v>
      </c>
      <c r="E34" s="1288" t="s">
        <v>1942</v>
      </c>
    </row>
    <row r="35" spans="1:5" ht="31.5">
      <c r="A35" s="1292" t="s">
        <v>1769</v>
      </c>
      <c r="B35" s="1293" t="s">
        <v>456</v>
      </c>
      <c r="C35" s="1293" t="s">
        <v>1894</v>
      </c>
      <c r="D35" s="1294" t="s">
        <v>1930</v>
      </c>
      <c r="E35" s="1288" t="s">
        <v>1943</v>
      </c>
    </row>
    <row r="36" spans="1:5" ht="31.5">
      <c r="A36" s="1292" t="s">
        <v>1770</v>
      </c>
      <c r="B36" s="1293" t="s">
        <v>453</v>
      </c>
      <c r="C36" s="1293" t="s">
        <v>1904</v>
      </c>
      <c r="D36" s="1294" t="s">
        <v>1944</v>
      </c>
      <c r="E36" s="1288" t="s">
        <v>1945</v>
      </c>
    </row>
    <row r="37" spans="1:5" ht="31.5">
      <c r="A37" s="1292" t="s">
        <v>1771</v>
      </c>
      <c r="B37" s="1293" t="s">
        <v>447</v>
      </c>
      <c r="C37" s="1293" t="s">
        <v>1904</v>
      </c>
      <c r="D37" s="1294" t="s">
        <v>1946</v>
      </c>
      <c r="E37" s="1288" t="s">
        <v>1947</v>
      </c>
    </row>
    <row r="38" spans="1:5" ht="31.5">
      <c r="A38" s="1292" t="s">
        <v>1772</v>
      </c>
      <c r="B38" s="1293" t="s">
        <v>446</v>
      </c>
      <c r="C38" s="1293" t="s">
        <v>1894</v>
      </c>
      <c r="D38" s="1294" t="s">
        <v>1948</v>
      </c>
      <c r="E38" s="1288" t="s">
        <v>1949</v>
      </c>
    </row>
    <row r="39" spans="1:5" ht="31.5">
      <c r="A39" s="1292" t="s">
        <v>1773</v>
      </c>
      <c r="B39" s="1293" t="s">
        <v>444</v>
      </c>
      <c r="C39" s="1293" t="s">
        <v>1894</v>
      </c>
      <c r="D39" s="1294" t="s">
        <v>1950</v>
      </c>
      <c r="E39" s="1288" t="s">
        <v>1951</v>
      </c>
    </row>
    <row r="40" spans="1:5" ht="31.5">
      <c r="A40" s="1292" t="s">
        <v>1774</v>
      </c>
      <c r="B40" s="1293" t="s">
        <v>4</v>
      </c>
      <c r="C40" s="1293" t="s">
        <v>1894</v>
      </c>
      <c r="D40" s="1294" t="s">
        <v>1952</v>
      </c>
      <c r="E40" s="1288" t="s">
        <v>1953</v>
      </c>
    </row>
    <row r="41" spans="1:5" ht="31.5">
      <c r="A41" s="1292" t="s">
        <v>1775</v>
      </c>
      <c r="B41" s="1293" t="s">
        <v>443</v>
      </c>
      <c r="C41" s="1293" t="s">
        <v>1894</v>
      </c>
      <c r="D41" s="1294" t="s">
        <v>1954</v>
      </c>
      <c r="E41" s="1288" t="s">
        <v>1955</v>
      </c>
    </row>
    <row r="42" spans="1:5" ht="31.5">
      <c r="A42" s="1292" t="s">
        <v>1777</v>
      </c>
      <c r="B42" s="1293" t="s">
        <v>439</v>
      </c>
      <c r="C42" s="1293" t="s">
        <v>1894</v>
      </c>
      <c r="D42" s="1294" t="s">
        <v>1956</v>
      </c>
      <c r="E42" s="1288" t="s">
        <v>1946</v>
      </c>
    </row>
    <row r="43" spans="1:5" ht="47.25">
      <c r="A43" s="1292" t="s">
        <v>1778</v>
      </c>
      <c r="B43" s="1293" t="s">
        <v>438</v>
      </c>
      <c r="C43" s="1293" t="s">
        <v>1894</v>
      </c>
      <c r="D43" s="1294" t="s">
        <v>1957</v>
      </c>
      <c r="E43" s="1288" t="s">
        <v>1958</v>
      </c>
    </row>
    <row r="44" spans="1:5" ht="47.25">
      <c r="A44" s="1292" t="s">
        <v>1779</v>
      </c>
      <c r="B44" s="1293" t="s">
        <v>5</v>
      </c>
      <c r="C44" s="1293" t="s">
        <v>1894</v>
      </c>
      <c r="D44" s="1294" t="s">
        <v>1959</v>
      </c>
      <c r="E44" s="1288" t="s">
        <v>1960</v>
      </c>
    </row>
    <row r="45" spans="1:5" ht="31.5">
      <c r="A45" s="1292" t="s">
        <v>1780</v>
      </c>
      <c r="B45" s="1293" t="s">
        <v>430</v>
      </c>
      <c r="C45" s="1293" t="s">
        <v>1894</v>
      </c>
      <c r="D45" s="1294" t="s">
        <v>1961</v>
      </c>
      <c r="E45" s="1288" t="s">
        <v>1962</v>
      </c>
    </row>
    <row r="46" spans="1:5" ht="31.5">
      <c r="A46" s="1292" t="s">
        <v>1781</v>
      </c>
      <c r="B46" s="1293" t="s">
        <v>425</v>
      </c>
      <c r="C46" s="1293" t="s">
        <v>1894</v>
      </c>
      <c r="D46" s="1294" t="s">
        <v>1963</v>
      </c>
      <c r="E46" s="1288" t="s">
        <v>1964</v>
      </c>
    </row>
  </sheetData>
  <mergeCells count="2">
    <mergeCell ref="A1:C1"/>
    <mergeCell ref="A6:E6"/>
  </mergeCells>
  <hyperlinks>
    <hyperlink ref="A3" r:id="rId1" xr:uid="{00000000-0004-0000-1400-000000000000}"/>
    <hyperlink ref="A13" r:id="rId2" tooltip="Chilean inflation CPI Chile" xr:uid="{00000000-0004-0000-1400-000001000000}"/>
    <hyperlink ref="A15" r:id="rId3" tooltip="Czech inflation CPI Czech Republic" xr:uid="{00000000-0004-0000-1400-000002000000}"/>
    <hyperlink ref="A16" r:id="rId4" tooltip="Danish inflation CPI Denmark" xr:uid="{00000000-0004-0000-1400-000003000000}"/>
    <hyperlink ref="A17" r:id="rId5" tooltip="Estonian inflation CPI Estonia" xr:uid="{00000000-0004-0000-1400-000004000000}"/>
    <hyperlink ref="A18" r:id="rId6" tooltip="Finnish inflation CPI Finland" xr:uid="{00000000-0004-0000-1400-000005000000}"/>
    <hyperlink ref="A19" r:id="rId7" tooltip="French inflation CPI France" xr:uid="{00000000-0004-0000-1400-000006000000}"/>
    <hyperlink ref="A20" r:id="rId8" tooltip="German inflation CPI Germany" xr:uid="{00000000-0004-0000-1400-000007000000}"/>
    <hyperlink ref="A21" r:id="rId9" tooltip="British inflation CPI Great Britain" xr:uid="{00000000-0004-0000-1400-000008000000}"/>
    <hyperlink ref="A22" r:id="rId10" tooltip="Greek inflation CPI Greece" xr:uid="{00000000-0004-0000-1400-000009000000}"/>
    <hyperlink ref="A23" r:id="rId11" tooltip="Hungarian inflation CPI Hungary" xr:uid="{00000000-0004-0000-1400-00000A000000}"/>
    <hyperlink ref="A24" r:id="rId12" tooltip="Icelandic inflation CPI Iceland" xr:uid="{00000000-0004-0000-1400-00000B000000}"/>
    <hyperlink ref="A25" r:id="rId13" tooltip="Indian inflation CPI India" xr:uid="{00000000-0004-0000-1400-00000C000000}"/>
    <hyperlink ref="A26" r:id="rId14" tooltip="Indonesian inflation CPI Indonesia" xr:uid="{00000000-0004-0000-1400-00000D000000}"/>
    <hyperlink ref="A27" r:id="rId15" tooltip="Irish inflation CPI Ireland" xr:uid="{00000000-0004-0000-1400-00000E000000}"/>
    <hyperlink ref="A28" r:id="rId16" tooltip="Israeli inflation CPI Israel" xr:uid="{00000000-0004-0000-1400-00000F000000}"/>
    <hyperlink ref="A29" r:id="rId17" tooltip="Italian inflation CPI Italy" xr:uid="{00000000-0004-0000-1400-000010000000}"/>
    <hyperlink ref="A30" r:id="rId18" tooltip="Japanese inflation CPI Japan" xr:uid="{00000000-0004-0000-1400-000011000000}"/>
    <hyperlink ref="A31" r:id="rId19" tooltip="Luxembourg inflation CPI Luxembourg" xr:uid="{00000000-0004-0000-1400-000012000000}"/>
    <hyperlink ref="A32" r:id="rId20" tooltip="Mexican inflation CPI Mexico" xr:uid="{00000000-0004-0000-1400-000013000000}"/>
    <hyperlink ref="A33" r:id="rId21" tooltip="Norwegian inflation CPI Norway" xr:uid="{00000000-0004-0000-1400-000014000000}"/>
    <hyperlink ref="A34" r:id="rId22" tooltip="Polish inflation CPI Poland" xr:uid="{00000000-0004-0000-1400-000015000000}"/>
    <hyperlink ref="A35" r:id="rId23" tooltip="Portuguese inflation CPI Portugal" xr:uid="{00000000-0004-0000-1400-000016000000}"/>
    <hyperlink ref="A36" r:id="rId24" tooltip="Russian inflation CPI Russia" xr:uid="{00000000-0004-0000-1400-000017000000}"/>
    <hyperlink ref="A37" r:id="rId25" tooltip="Slovak inflation CPI Slovakia" xr:uid="{00000000-0004-0000-1400-000018000000}"/>
    <hyperlink ref="A38" r:id="rId26" tooltip="Slovenian inflation CPI Slovenia" xr:uid="{00000000-0004-0000-1400-000019000000}"/>
    <hyperlink ref="A39" r:id="rId27" tooltip="South African inflation CPI South Africa" xr:uid="{00000000-0004-0000-1400-00001A000000}"/>
    <hyperlink ref="A40" r:id="rId28" tooltip="South Korean inflation CPI South Korea" xr:uid="{00000000-0004-0000-1400-00001B000000}"/>
    <hyperlink ref="A41" r:id="rId29" tooltip="Spanish inflation CPI Spain" xr:uid="{00000000-0004-0000-1400-00001C000000}"/>
    <hyperlink ref="A42" r:id="rId30" tooltip="Swedish inflation CPI Sweden" xr:uid="{00000000-0004-0000-1400-00001D000000}"/>
    <hyperlink ref="A43" r:id="rId31" tooltip="Swiss inflation CPI Switzerland" xr:uid="{00000000-0004-0000-1400-00001E000000}"/>
    <hyperlink ref="A44" r:id="rId32" tooltip="Dutch inflation CPI the Netherlands" xr:uid="{00000000-0004-0000-1400-00001F000000}"/>
    <hyperlink ref="A45" r:id="rId33" tooltip="Turkish inflation CPI Turkey" xr:uid="{00000000-0004-0000-1400-000020000000}"/>
    <hyperlink ref="A46" r:id="rId34" tooltip="American inflation CPI United States" xr:uid="{00000000-0004-0000-1400-000021000000}"/>
    <hyperlink ref="A12" r:id="rId35" tooltip="Canadian inflation CPI Canada" xr:uid="{00000000-0004-0000-1400-000022000000}"/>
    <hyperlink ref="A11" r:id="rId36" tooltip="Brazilian inflation CPI Brazil" xr:uid="{00000000-0004-0000-1400-000023000000}"/>
    <hyperlink ref="A10" r:id="rId37" tooltip="Belgian inflation CPI Belgium" xr:uid="{00000000-0004-0000-1400-000024000000}"/>
    <hyperlink ref="A9" r:id="rId38" tooltip="Austrian inflation CPI Austria" xr:uid="{00000000-0004-0000-1400-000025000000}"/>
  </hyperlinks>
  <pageMargins left="0.75" right="0.75" top="1" bottom="1" header="0.5" footer="0.5"/>
  <pageSetup paperSize="9" orientation="portrait" horizontalDpi="4294967292" verticalDpi="4294967292"/>
  <tableParts count="1">
    <tablePart r:id="rId39"/>
  </tablePart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I161"/>
  <sheetViews>
    <sheetView zoomScale="150" workbookViewId="0">
      <selection sqref="A1:C1"/>
    </sheetView>
  </sheetViews>
  <sheetFormatPr defaultColWidth="11.42578125" defaultRowHeight="12"/>
  <cols>
    <col min="1" max="1" width="14.42578125" style="495" customWidth="1"/>
    <col min="2" max="2" width="17.7109375" style="495" customWidth="1"/>
    <col min="3" max="3" width="13.85546875" style="495" customWidth="1"/>
    <col min="4" max="4" width="13.42578125" style="495" customWidth="1"/>
    <col min="5" max="5" width="13" style="496" customWidth="1"/>
    <col min="6" max="6" width="16.42578125" style="496" customWidth="1"/>
    <col min="7" max="7" width="13.28515625" style="496" customWidth="1"/>
    <col min="8" max="8" width="21" style="496" bestFit="1" customWidth="1"/>
    <col min="9" max="9" width="11.42578125" style="496" customWidth="1"/>
    <col min="10" max="16384" width="11.42578125" style="495"/>
  </cols>
  <sheetData>
    <row r="1" spans="1:9" ht="15">
      <c r="A1" s="1383" t="s">
        <v>1081</v>
      </c>
      <c r="B1" s="1384"/>
      <c r="C1" s="1384"/>
    </row>
    <row r="2" spans="1:9" s="482" customFormat="1" ht="13.5" customHeight="1">
      <c r="B2" s="481"/>
      <c r="C2" s="481"/>
      <c r="D2" s="481"/>
      <c r="F2" s="481"/>
      <c r="G2" s="481"/>
      <c r="H2" s="481"/>
      <c r="I2" s="481"/>
    </row>
    <row r="3" spans="1:9" s="482" customFormat="1" ht="13.5" customHeight="1">
      <c r="A3" s="516" t="s">
        <v>1365</v>
      </c>
      <c r="B3" s="481"/>
      <c r="C3" s="481"/>
      <c r="D3" s="481"/>
      <c r="E3" s="516"/>
      <c r="F3" s="481"/>
      <c r="G3" s="481"/>
      <c r="H3" s="481"/>
      <c r="I3" s="481"/>
    </row>
    <row r="4" spans="1:9" s="482" customFormat="1" ht="9.75" customHeight="1">
      <c r="B4" s="481"/>
      <c r="C4" s="481"/>
      <c r="D4" s="481"/>
      <c r="E4" s="481"/>
      <c r="F4" s="481"/>
      <c r="G4" s="481"/>
      <c r="H4" s="481"/>
      <c r="I4" s="481"/>
    </row>
    <row r="5" spans="1:9" s="487" customFormat="1" ht="9.75" customHeight="1">
      <c r="A5" s="483" t="s">
        <v>1082</v>
      </c>
      <c r="B5" s="484"/>
      <c r="C5" s="484"/>
      <c r="D5" s="484"/>
      <c r="E5" s="484"/>
      <c r="F5" s="484"/>
      <c r="G5" s="485"/>
      <c r="H5" s="486"/>
      <c r="I5" s="486"/>
    </row>
    <row r="6" spans="1:9" s="487" customFormat="1" ht="9.75" customHeight="1">
      <c r="A6" s="488" t="s">
        <v>1083</v>
      </c>
      <c r="B6" s="489"/>
      <c r="C6" s="489"/>
      <c r="D6" s="489"/>
      <c r="E6" s="489"/>
      <c r="F6" s="489"/>
      <c r="G6" s="490"/>
      <c r="H6" s="486"/>
      <c r="I6" s="486"/>
    </row>
    <row r="7" spans="1:9" s="487" customFormat="1" ht="9.75" customHeight="1">
      <c r="A7" s="488" t="s">
        <v>1084</v>
      </c>
      <c r="B7" s="489"/>
      <c r="C7" s="489"/>
      <c r="D7" s="489"/>
      <c r="E7" s="489"/>
      <c r="F7" s="489"/>
      <c r="G7" s="490"/>
      <c r="H7" s="486"/>
      <c r="I7" s="486"/>
    </row>
    <row r="8" spans="1:9" s="487" customFormat="1" ht="9.75" customHeight="1">
      <c r="A8" s="488" t="s">
        <v>1085</v>
      </c>
      <c r="B8" s="489"/>
      <c r="C8" s="489"/>
      <c r="D8" s="489"/>
      <c r="E8" s="489"/>
      <c r="F8" s="489"/>
      <c r="G8" s="490"/>
      <c r="H8" s="486"/>
      <c r="I8" s="486"/>
    </row>
    <row r="9" spans="1:9" s="487" customFormat="1" ht="9.75" customHeight="1">
      <c r="A9" s="491" t="s">
        <v>1086</v>
      </c>
      <c r="B9" s="492"/>
      <c r="C9" s="492"/>
      <c r="D9" s="492"/>
      <c r="E9" s="492"/>
      <c r="F9" s="492"/>
      <c r="G9" s="493"/>
      <c r="H9" s="486"/>
      <c r="I9" s="486"/>
    </row>
    <row r="10" spans="1:9" s="487" customFormat="1" ht="9.75" customHeight="1">
      <c r="A10" s="491" t="s">
        <v>1087</v>
      </c>
      <c r="B10" s="492"/>
      <c r="C10" s="492"/>
      <c r="D10" s="492"/>
      <c r="E10" s="492"/>
      <c r="F10" s="492"/>
      <c r="G10" s="493"/>
      <c r="H10" s="486"/>
      <c r="I10" s="486"/>
    </row>
    <row r="11" spans="1:9" ht="9.75" customHeight="1">
      <c r="A11" s="486"/>
      <c r="B11" s="494"/>
      <c r="C11" s="486"/>
      <c r="D11" s="486"/>
      <c r="E11" s="486"/>
      <c r="F11" s="486"/>
      <c r="G11" s="486"/>
      <c r="H11" s="486"/>
      <c r="I11" s="486"/>
    </row>
    <row r="12" spans="1:9" ht="9.75" customHeight="1">
      <c r="A12" s="496" t="s">
        <v>1088</v>
      </c>
      <c r="B12" s="496"/>
      <c r="C12" s="496"/>
      <c r="D12" s="496"/>
      <c r="E12" s="497">
        <v>0.06</v>
      </c>
    </row>
    <row r="13" spans="1:9" ht="9.75" customHeight="1">
      <c r="A13" s="496" t="s">
        <v>1089</v>
      </c>
      <c r="B13" s="496"/>
      <c r="C13" s="496"/>
      <c r="D13" s="496"/>
      <c r="F13" s="498" t="s">
        <v>609</v>
      </c>
      <c r="G13" s="496" t="s">
        <v>1090</v>
      </c>
    </row>
    <row r="14" spans="1:9" s="500" customFormat="1" ht="9.75" customHeight="1">
      <c r="A14" s="499" t="s">
        <v>1091</v>
      </c>
      <c r="B14" s="499"/>
      <c r="C14" s="499"/>
      <c r="D14" s="499"/>
      <c r="E14" s="499"/>
      <c r="F14" s="499"/>
      <c r="G14" s="499"/>
      <c r="H14" s="499"/>
      <c r="I14" s="499"/>
    </row>
    <row r="15" spans="1:9" s="500" customFormat="1" ht="9.75" customHeight="1">
      <c r="A15" s="499" t="s">
        <v>1092</v>
      </c>
      <c r="B15" s="499"/>
      <c r="C15" s="499"/>
      <c r="D15" s="499"/>
      <c r="E15" s="499"/>
      <c r="F15" s="499"/>
      <c r="G15" s="499"/>
      <c r="H15" s="499"/>
      <c r="I15" s="499"/>
    </row>
    <row r="16" spans="1:9" ht="9.75" customHeight="1">
      <c r="A16" s="496" t="s">
        <v>1093</v>
      </c>
      <c r="B16" s="496"/>
      <c r="C16" s="496"/>
      <c r="D16" s="496"/>
      <c r="E16" s="497">
        <v>5.5E-2</v>
      </c>
    </row>
    <row r="17" spans="1:6" ht="9.75" customHeight="1">
      <c r="A17" s="496" t="s">
        <v>1094</v>
      </c>
      <c r="B17" s="496"/>
      <c r="C17" s="496"/>
      <c r="D17" s="496"/>
      <c r="E17" s="501">
        <v>0.61</v>
      </c>
      <c r="F17" s="496" t="s">
        <v>1095</v>
      </c>
    </row>
    <row r="18" spans="1:6" ht="9.75" customHeight="1">
      <c r="A18" s="496" t="s">
        <v>1096</v>
      </c>
      <c r="B18" s="496"/>
      <c r="C18" s="496"/>
      <c r="D18" s="496"/>
      <c r="E18" s="501">
        <v>0.35</v>
      </c>
      <c r="F18" s="496" t="s">
        <v>1095</v>
      </c>
    </row>
    <row r="19" spans="1:6" ht="9.75" customHeight="1">
      <c r="A19" s="496" t="s">
        <v>1368</v>
      </c>
      <c r="B19" s="496"/>
      <c r="C19" s="496"/>
      <c r="D19" s="496"/>
      <c r="E19" s="502">
        <f>E16*(E17/E18)</f>
        <v>9.5857142857142863E-2</v>
      </c>
    </row>
    <row r="20" spans="1:6" ht="9.75" customHeight="1">
      <c r="A20" s="496"/>
      <c r="B20" s="496"/>
      <c r="C20" s="496"/>
      <c r="D20" s="496"/>
      <c r="F20" s="503"/>
    </row>
    <row r="21" spans="1:6" ht="9.75" customHeight="1">
      <c r="A21" s="512" t="s">
        <v>1103</v>
      </c>
      <c r="B21" s="512" t="s">
        <v>1104</v>
      </c>
      <c r="D21" s="496"/>
    </row>
    <row r="22" spans="1:6" ht="9.75" customHeight="1">
      <c r="A22" s="513" t="s">
        <v>404</v>
      </c>
      <c r="B22" s="514">
        <v>85</v>
      </c>
      <c r="D22" s="496"/>
    </row>
    <row r="23" spans="1:6" ht="9.75" customHeight="1">
      <c r="A23" s="513" t="s">
        <v>405</v>
      </c>
      <c r="B23" s="514">
        <v>100</v>
      </c>
      <c r="D23" s="496"/>
    </row>
    <row r="24" spans="1:6" ht="9.75" customHeight="1">
      <c r="A24" s="513" t="s">
        <v>406</v>
      </c>
      <c r="B24" s="514">
        <v>115</v>
      </c>
      <c r="D24" s="496"/>
    </row>
    <row r="25" spans="1:6" ht="9.75" customHeight="1">
      <c r="A25" s="513" t="s">
        <v>401</v>
      </c>
      <c r="B25" s="514">
        <v>25</v>
      </c>
      <c r="D25" s="496"/>
    </row>
    <row r="26" spans="1:6" ht="9.75" customHeight="1">
      <c r="A26" s="513" t="s">
        <v>402</v>
      </c>
      <c r="B26" s="514">
        <v>50</v>
      </c>
      <c r="D26" s="496"/>
    </row>
    <row r="27" spans="1:6" ht="9.75" customHeight="1">
      <c r="A27" s="513" t="s">
        <v>403</v>
      </c>
      <c r="B27" s="514">
        <v>70</v>
      </c>
      <c r="D27" s="496"/>
    </row>
    <row r="28" spans="1:6" ht="9.75" customHeight="1">
      <c r="A28" s="513" t="s">
        <v>400</v>
      </c>
      <c r="B28" s="514">
        <v>0</v>
      </c>
      <c r="D28" s="496"/>
    </row>
    <row r="29" spans="1:6" ht="9.75" customHeight="1">
      <c r="A29" s="513" t="s">
        <v>413</v>
      </c>
      <c r="B29" s="514">
        <v>400</v>
      </c>
      <c r="D29" s="496"/>
    </row>
    <row r="30" spans="1:6" ht="9.75" customHeight="1">
      <c r="A30" s="513" t="s">
        <v>414</v>
      </c>
      <c r="B30" s="514">
        <v>500</v>
      </c>
      <c r="D30" s="496"/>
    </row>
    <row r="31" spans="1:6" ht="9.75" customHeight="1">
      <c r="A31" s="513" t="s">
        <v>415</v>
      </c>
      <c r="B31" s="514">
        <v>600</v>
      </c>
      <c r="D31" s="496"/>
    </row>
    <row r="32" spans="1:6" ht="9.75" customHeight="1">
      <c r="A32" s="513" t="s">
        <v>410</v>
      </c>
      <c r="B32" s="514">
        <v>240</v>
      </c>
      <c r="D32" s="496"/>
    </row>
    <row r="33" spans="1:9" ht="9.75" customHeight="1">
      <c r="A33" s="513" t="s">
        <v>411</v>
      </c>
      <c r="B33" s="514">
        <v>275</v>
      </c>
      <c r="D33" s="496"/>
    </row>
    <row r="34" spans="1:9" ht="9.75" customHeight="1">
      <c r="A34" s="513" t="s">
        <v>412</v>
      </c>
      <c r="B34" s="514">
        <v>325</v>
      </c>
      <c r="D34" s="496"/>
    </row>
    <row r="35" spans="1:9" ht="9.75" customHeight="1">
      <c r="A35" s="513" t="s">
        <v>407</v>
      </c>
      <c r="B35" s="514">
        <v>150</v>
      </c>
      <c r="D35" s="496"/>
    </row>
    <row r="36" spans="1:9" ht="9.75" customHeight="1">
      <c r="A36" s="513" t="s">
        <v>408</v>
      </c>
      <c r="B36" s="514">
        <v>175</v>
      </c>
      <c r="D36" s="496"/>
    </row>
    <row r="37" spans="1:9" ht="9.75" customHeight="1">
      <c r="A37" s="513" t="s">
        <v>409</v>
      </c>
      <c r="B37" s="514">
        <v>200</v>
      </c>
      <c r="D37" s="496"/>
    </row>
    <row r="38" spans="1:9" ht="9.75" customHeight="1">
      <c r="A38" s="513" t="s">
        <v>416</v>
      </c>
      <c r="B38" s="514">
        <v>700</v>
      </c>
      <c r="D38" s="496"/>
    </row>
    <row r="39" spans="1:9" ht="9.75" customHeight="1">
      <c r="A39" s="515" t="s">
        <v>417</v>
      </c>
      <c r="B39" s="514">
        <v>850</v>
      </c>
      <c r="D39" s="496"/>
    </row>
    <row r="40" spans="1:9" ht="9.75" customHeight="1">
      <c r="A40" s="515" t="s">
        <v>418</v>
      </c>
      <c r="B40" s="514">
        <v>1000</v>
      </c>
      <c r="D40" s="496"/>
    </row>
    <row r="41" spans="1:9">
      <c r="A41" s="496"/>
      <c r="B41" s="496"/>
      <c r="C41" s="496"/>
      <c r="D41" s="496"/>
    </row>
    <row r="42" spans="1:9" s="507" customFormat="1" ht="9.75" customHeight="1">
      <c r="A42" s="504" t="s">
        <v>1135</v>
      </c>
      <c r="B42" s="504" t="s">
        <v>1097</v>
      </c>
      <c r="C42" s="505" t="s">
        <v>1098</v>
      </c>
      <c r="D42" s="504" t="s">
        <v>1099</v>
      </c>
      <c r="E42" s="504" t="s">
        <v>1100</v>
      </c>
      <c r="F42" s="505" t="s">
        <v>1101</v>
      </c>
      <c r="G42" s="499" t="s">
        <v>1102</v>
      </c>
      <c r="H42" s="506"/>
      <c r="I42" s="506"/>
    </row>
    <row r="43" spans="1:9" ht="9.75" customHeight="1">
      <c r="A43" s="508" t="s">
        <v>558</v>
      </c>
      <c r="B43" s="508" t="s">
        <v>1537</v>
      </c>
      <c r="C43" s="509" t="s">
        <v>413</v>
      </c>
      <c r="D43" s="509">
        <f t="shared" ref="D43:D74" si="0">VLOOKUP(C43,$G$44:$H$62,2)</f>
        <v>400</v>
      </c>
      <c r="E43" s="510">
        <f t="shared" ref="E43:E74" si="1">$E$12+(D43/10000)*1.5</f>
        <v>0.12</v>
      </c>
      <c r="F43" s="511">
        <f t="shared" ref="F43:F74" si="2">E43-$E$12</f>
        <v>0.06</v>
      </c>
      <c r="G43" s="512" t="s">
        <v>1103</v>
      </c>
      <c r="H43" s="512" t="s">
        <v>1104</v>
      </c>
    </row>
    <row r="44" spans="1:9" ht="9.75" customHeight="1">
      <c r="A44" s="508" t="s">
        <v>556</v>
      </c>
      <c r="B44" s="508" t="s">
        <v>1538</v>
      </c>
      <c r="C44" s="509" t="s">
        <v>412</v>
      </c>
      <c r="D44" s="509">
        <f t="shared" si="0"/>
        <v>325</v>
      </c>
      <c r="E44" s="510">
        <f t="shared" si="1"/>
        <v>0.10875</v>
      </c>
      <c r="F44" s="511">
        <f t="shared" si="2"/>
        <v>4.8750000000000002E-2</v>
      </c>
      <c r="G44" s="513" t="s">
        <v>404</v>
      </c>
      <c r="H44" s="514">
        <v>85</v>
      </c>
    </row>
    <row r="45" spans="1:9" ht="9.75" customHeight="1">
      <c r="A45" s="508" t="s">
        <v>555</v>
      </c>
      <c r="B45" s="508" t="s">
        <v>1539</v>
      </c>
      <c r="C45" s="509" t="s">
        <v>415</v>
      </c>
      <c r="D45" s="509">
        <f t="shared" si="0"/>
        <v>600</v>
      </c>
      <c r="E45" s="510">
        <f t="shared" si="1"/>
        <v>0.15</v>
      </c>
      <c r="F45" s="511">
        <f t="shared" si="2"/>
        <v>0.09</v>
      </c>
      <c r="G45" s="513" t="s">
        <v>405</v>
      </c>
      <c r="H45" s="514">
        <v>100</v>
      </c>
    </row>
    <row r="46" spans="1:9" ht="9.75" customHeight="1">
      <c r="A46" s="508" t="s">
        <v>554</v>
      </c>
      <c r="B46" s="508" t="s">
        <v>1537</v>
      </c>
      <c r="C46" s="509" t="s">
        <v>411</v>
      </c>
      <c r="D46" s="509">
        <f t="shared" si="0"/>
        <v>275</v>
      </c>
      <c r="E46" s="510">
        <f t="shared" si="1"/>
        <v>0.10125000000000001</v>
      </c>
      <c r="F46" s="511">
        <f t="shared" si="2"/>
        <v>4.1250000000000009E-2</v>
      </c>
      <c r="G46" s="513" t="s">
        <v>406</v>
      </c>
      <c r="H46" s="514">
        <v>115</v>
      </c>
    </row>
    <row r="47" spans="1:9" ht="9.75" customHeight="1">
      <c r="A47" s="508" t="s">
        <v>553</v>
      </c>
      <c r="B47" s="508" t="s">
        <v>1540</v>
      </c>
      <c r="C47" s="509" t="s">
        <v>400</v>
      </c>
      <c r="D47" s="509">
        <f t="shared" si="0"/>
        <v>0</v>
      </c>
      <c r="E47" s="510">
        <f t="shared" si="1"/>
        <v>0.06</v>
      </c>
      <c r="F47" s="511">
        <f t="shared" si="2"/>
        <v>0</v>
      </c>
      <c r="G47" s="513" t="s">
        <v>401</v>
      </c>
      <c r="H47" s="514">
        <v>25</v>
      </c>
    </row>
    <row r="48" spans="1:9" ht="9.75" customHeight="1">
      <c r="A48" s="508" t="s">
        <v>1507</v>
      </c>
      <c r="B48" s="508" t="s">
        <v>1541</v>
      </c>
      <c r="C48" s="509" t="s">
        <v>400</v>
      </c>
      <c r="D48" s="509">
        <f t="shared" si="0"/>
        <v>0</v>
      </c>
      <c r="E48" s="510">
        <f t="shared" si="1"/>
        <v>0.06</v>
      </c>
      <c r="F48" s="511">
        <f t="shared" si="2"/>
        <v>0</v>
      </c>
      <c r="G48" s="513" t="s">
        <v>402</v>
      </c>
      <c r="H48" s="514">
        <v>50</v>
      </c>
    </row>
    <row r="49" spans="1:8" ht="9.75" customHeight="1">
      <c r="A49" s="508" t="s">
        <v>551</v>
      </c>
      <c r="B49" s="508" t="s">
        <v>1537</v>
      </c>
      <c r="C49" s="509" t="s">
        <v>410</v>
      </c>
      <c r="D49" s="509">
        <f t="shared" si="0"/>
        <v>240</v>
      </c>
      <c r="E49" s="510">
        <f t="shared" si="1"/>
        <v>9.6000000000000002E-2</v>
      </c>
      <c r="F49" s="511">
        <f t="shared" si="2"/>
        <v>3.6000000000000004E-2</v>
      </c>
      <c r="G49" s="513" t="s">
        <v>403</v>
      </c>
      <c r="H49" s="514">
        <v>70</v>
      </c>
    </row>
    <row r="50" spans="1:8" ht="9.75" customHeight="1">
      <c r="A50" s="508" t="s">
        <v>550</v>
      </c>
      <c r="B50" s="508" t="s">
        <v>1542</v>
      </c>
      <c r="C50" s="509" t="s">
        <v>406</v>
      </c>
      <c r="D50" s="509">
        <f t="shared" si="0"/>
        <v>115</v>
      </c>
      <c r="E50" s="510">
        <f t="shared" si="1"/>
        <v>7.7249999999999999E-2</v>
      </c>
      <c r="F50" s="511">
        <f t="shared" si="2"/>
        <v>1.7250000000000001E-2</v>
      </c>
      <c r="G50" s="513" t="s">
        <v>400</v>
      </c>
      <c r="H50" s="514">
        <v>0</v>
      </c>
    </row>
    <row r="51" spans="1:8" ht="9.75" customHeight="1">
      <c r="A51" s="508" t="s">
        <v>549</v>
      </c>
      <c r="B51" s="508" t="s">
        <v>1543</v>
      </c>
      <c r="C51" s="509" t="s">
        <v>407</v>
      </c>
      <c r="D51" s="509">
        <f t="shared" si="0"/>
        <v>150</v>
      </c>
      <c r="E51" s="510">
        <f t="shared" si="1"/>
        <v>8.249999999999999E-2</v>
      </c>
      <c r="F51" s="511">
        <f t="shared" si="2"/>
        <v>2.2499999999999992E-2</v>
      </c>
      <c r="G51" s="513" t="s">
        <v>413</v>
      </c>
      <c r="H51" s="514">
        <v>400</v>
      </c>
    </row>
    <row r="52" spans="1:8" ht="9.75" customHeight="1">
      <c r="A52" s="508" t="s">
        <v>548</v>
      </c>
      <c r="B52" s="508" t="s">
        <v>1544</v>
      </c>
      <c r="C52" s="509" t="s">
        <v>412</v>
      </c>
      <c r="D52" s="509">
        <f t="shared" si="0"/>
        <v>325</v>
      </c>
      <c r="E52" s="510">
        <f t="shared" si="1"/>
        <v>0.10875</v>
      </c>
      <c r="F52" s="511">
        <f t="shared" si="2"/>
        <v>4.8750000000000002E-2</v>
      </c>
      <c r="G52" s="513" t="s">
        <v>414</v>
      </c>
      <c r="H52" s="514">
        <v>500</v>
      </c>
    </row>
    <row r="53" spans="1:8" ht="9.75" customHeight="1">
      <c r="A53" s="508" t="s">
        <v>1508</v>
      </c>
      <c r="B53" s="508" t="s">
        <v>1542</v>
      </c>
      <c r="C53" s="509" t="s">
        <v>409</v>
      </c>
      <c r="D53" s="509">
        <f t="shared" si="0"/>
        <v>200</v>
      </c>
      <c r="E53" s="510">
        <f t="shared" si="1"/>
        <v>0.09</v>
      </c>
      <c r="F53" s="511">
        <f t="shared" si="2"/>
        <v>0.03</v>
      </c>
      <c r="G53" s="513" t="s">
        <v>415</v>
      </c>
      <c r="H53" s="514">
        <v>600</v>
      </c>
    </row>
    <row r="54" spans="1:8" ht="9.75" customHeight="1">
      <c r="A54" s="508" t="s">
        <v>547</v>
      </c>
      <c r="B54" s="508" t="s">
        <v>1537</v>
      </c>
      <c r="C54" s="509" t="s">
        <v>415</v>
      </c>
      <c r="D54" s="509">
        <f t="shared" si="0"/>
        <v>600</v>
      </c>
      <c r="E54" s="510">
        <f t="shared" si="1"/>
        <v>0.15</v>
      </c>
      <c r="F54" s="511">
        <f t="shared" si="2"/>
        <v>0.09</v>
      </c>
      <c r="G54" s="513" t="s">
        <v>410</v>
      </c>
      <c r="H54" s="514">
        <v>240</v>
      </c>
    </row>
    <row r="55" spans="1:8" ht="9.75" customHeight="1">
      <c r="A55" s="508" t="s">
        <v>1509</v>
      </c>
      <c r="B55" s="508" t="s">
        <v>1541</v>
      </c>
      <c r="C55" s="509" t="s">
        <v>403</v>
      </c>
      <c r="D55" s="509">
        <f t="shared" si="0"/>
        <v>70</v>
      </c>
      <c r="E55" s="510">
        <f t="shared" si="1"/>
        <v>7.0499999999999993E-2</v>
      </c>
      <c r="F55" s="511">
        <f t="shared" si="2"/>
        <v>1.0499999999999995E-2</v>
      </c>
      <c r="G55" s="513" t="s">
        <v>411</v>
      </c>
      <c r="H55" s="514">
        <v>275</v>
      </c>
    </row>
    <row r="56" spans="1:8" ht="9.75" customHeight="1">
      <c r="A56" s="508" t="s">
        <v>1510</v>
      </c>
      <c r="B56" s="508" t="s">
        <v>1539</v>
      </c>
      <c r="C56" s="509" t="s">
        <v>415</v>
      </c>
      <c r="D56" s="509">
        <f t="shared" si="0"/>
        <v>600</v>
      </c>
      <c r="E56" s="510">
        <f t="shared" si="1"/>
        <v>0.15</v>
      </c>
      <c r="F56" s="511">
        <f t="shared" si="2"/>
        <v>0.09</v>
      </c>
      <c r="G56" s="513" t="s">
        <v>412</v>
      </c>
      <c r="H56" s="514">
        <v>325</v>
      </c>
    </row>
    <row r="57" spans="1:8" ht="9.75" customHeight="1">
      <c r="A57" s="508" t="s">
        <v>1511</v>
      </c>
      <c r="B57" s="508" t="s">
        <v>1542</v>
      </c>
      <c r="C57" s="509" t="s">
        <v>402</v>
      </c>
      <c r="D57" s="509">
        <f t="shared" si="0"/>
        <v>50</v>
      </c>
      <c r="E57" s="510">
        <f t="shared" si="1"/>
        <v>6.7500000000000004E-2</v>
      </c>
      <c r="F57" s="511">
        <f t="shared" si="2"/>
        <v>7.5000000000000067E-3</v>
      </c>
      <c r="G57" s="513" t="s">
        <v>407</v>
      </c>
      <c r="H57" s="514">
        <v>150</v>
      </c>
    </row>
    <row r="58" spans="1:8" ht="9.75" customHeight="1">
      <c r="A58" s="508" t="s">
        <v>545</v>
      </c>
      <c r="B58" s="508" t="s">
        <v>1539</v>
      </c>
      <c r="C58" s="509" t="s">
        <v>413</v>
      </c>
      <c r="D58" s="509">
        <f t="shared" si="0"/>
        <v>400</v>
      </c>
      <c r="E58" s="510">
        <f t="shared" si="1"/>
        <v>0.12</v>
      </c>
      <c r="F58" s="511">
        <f t="shared" si="2"/>
        <v>0.06</v>
      </c>
      <c r="G58" s="513" t="s">
        <v>408</v>
      </c>
      <c r="H58" s="514">
        <v>175</v>
      </c>
    </row>
    <row r="59" spans="1:8" ht="9.75" customHeight="1">
      <c r="A59" s="508" t="s">
        <v>1512</v>
      </c>
      <c r="B59" s="508" t="s">
        <v>1537</v>
      </c>
      <c r="C59" s="509" t="s">
        <v>414</v>
      </c>
      <c r="D59" s="509">
        <f t="shared" si="0"/>
        <v>500</v>
      </c>
      <c r="E59" s="510">
        <f t="shared" si="1"/>
        <v>0.13500000000000001</v>
      </c>
      <c r="F59" s="511">
        <f t="shared" si="2"/>
        <v>7.5000000000000011E-2</v>
      </c>
      <c r="G59" s="513" t="s">
        <v>409</v>
      </c>
      <c r="H59" s="514">
        <v>200</v>
      </c>
    </row>
    <row r="60" spans="1:8" ht="9.75" customHeight="1">
      <c r="A60" s="508" t="s">
        <v>544</v>
      </c>
      <c r="B60" s="508" t="s">
        <v>1538</v>
      </c>
      <c r="C60" s="509" t="s">
        <v>405</v>
      </c>
      <c r="D60" s="509">
        <f t="shared" si="0"/>
        <v>100</v>
      </c>
      <c r="E60" s="510">
        <f t="shared" si="1"/>
        <v>7.4999999999999997E-2</v>
      </c>
      <c r="F60" s="511">
        <f t="shared" si="2"/>
        <v>1.4999999999999999E-2</v>
      </c>
      <c r="G60" s="513" t="s">
        <v>416</v>
      </c>
      <c r="H60" s="514">
        <v>700</v>
      </c>
    </row>
    <row r="61" spans="1:8" ht="9.75" customHeight="1">
      <c r="A61" s="508" t="s">
        <v>543</v>
      </c>
      <c r="B61" s="508" t="s">
        <v>1539</v>
      </c>
      <c r="C61" s="509" t="s">
        <v>408</v>
      </c>
      <c r="D61" s="509">
        <f t="shared" si="0"/>
        <v>175</v>
      </c>
      <c r="E61" s="510">
        <f t="shared" si="1"/>
        <v>8.6249999999999993E-2</v>
      </c>
      <c r="F61" s="511">
        <f t="shared" si="2"/>
        <v>2.6249999999999996E-2</v>
      </c>
      <c r="G61" s="515" t="s">
        <v>417</v>
      </c>
      <c r="H61" s="514">
        <v>850</v>
      </c>
    </row>
    <row r="62" spans="1:8" ht="9.75" customHeight="1">
      <c r="A62" s="508" t="s">
        <v>541</v>
      </c>
      <c r="B62" s="508" t="s">
        <v>1537</v>
      </c>
      <c r="C62" s="509" t="s">
        <v>408</v>
      </c>
      <c r="D62" s="509">
        <f t="shared" si="0"/>
        <v>175</v>
      </c>
      <c r="E62" s="510">
        <f t="shared" si="1"/>
        <v>8.6249999999999993E-2</v>
      </c>
      <c r="F62" s="511">
        <f t="shared" si="2"/>
        <v>2.6249999999999996E-2</v>
      </c>
      <c r="G62" s="515" t="s">
        <v>418</v>
      </c>
      <c r="H62" s="514">
        <v>1000</v>
      </c>
    </row>
    <row r="63" spans="1:8" ht="9.75" customHeight="1">
      <c r="A63" s="508" t="s">
        <v>1513</v>
      </c>
      <c r="B63" s="508" t="s">
        <v>1544</v>
      </c>
      <c r="C63" s="509" t="s">
        <v>414</v>
      </c>
      <c r="D63" s="509">
        <f t="shared" si="0"/>
        <v>500</v>
      </c>
      <c r="E63" s="510">
        <f t="shared" si="1"/>
        <v>0.13500000000000001</v>
      </c>
      <c r="F63" s="511">
        <f t="shared" si="2"/>
        <v>7.5000000000000011E-2</v>
      </c>
    </row>
    <row r="64" spans="1:8" ht="9.75" customHeight="1">
      <c r="A64" s="508" t="s">
        <v>538</v>
      </c>
      <c r="B64" s="508" t="s">
        <v>1545</v>
      </c>
      <c r="C64" s="509" t="s">
        <v>400</v>
      </c>
      <c r="D64" s="509">
        <f t="shared" si="0"/>
        <v>0</v>
      </c>
      <c r="E64" s="510">
        <f t="shared" si="1"/>
        <v>0.06</v>
      </c>
      <c r="F64" s="511">
        <f t="shared" si="2"/>
        <v>0</v>
      </c>
    </row>
    <row r="65" spans="1:6" ht="9.75" customHeight="1">
      <c r="A65" s="508" t="s">
        <v>1514</v>
      </c>
      <c r="B65" s="508" t="s">
        <v>1542</v>
      </c>
      <c r="C65" s="509" t="s">
        <v>403</v>
      </c>
      <c r="D65" s="509">
        <f t="shared" si="0"/>
        <v>70</v>
      </c>
      <c r="E65" s="510">
        <f t="shared" si="1"/>
        <v>7.0499999999999993E-2</v>
      </c>
      <c r="F65" s="511">
        <f t="shared" si="2"/>
        <v>1.0499999999999995E-2</v>
      </c>
    </row>
    <row r="66" spans="1:6" ht="9.75" customHeight="1">
      <c r="A66" s="508" t="s">
        <v>537</v>
      </c>
      <c r="B66" s="508" t="s">
        <v>1539</v>
      </c>
      <c r="C66" s="509" t="s">
        <v>403</v>
      </c>
      <c r="D66" s="509">
        <f t="shared" si="0"/>
        <v>70</v>
      </c>
      <c r="E66" s="510">
        <f t="shared" si="1"/>
        <v>7.0499999999999993E-2</v>
      </c>
      <c r="F66" s="511">
        <f t="shared" si="2"/>
        <v>1.0499999999999995E-2</v>
      </c>
    </row>
    <row r="67" spans="1:6" ht="9.75" customHeight="1">
      <c r="A67" s="508" t="s">
        <v>2</v>
      </c>
      <c r="B67" s="508" t="s">
        <v>1544</v>
      </c>
      <c r="C67" s="509" t="s">
        <v>403</v>
      </c>
      <c r="D67" s="509">
        <f t="shared" si="0"/>
        <v>70</v>
      </c>
      <c r="E67" s="510">
        <f t="shared" si="1"/>
        <v>7.0499999999999993E-2</v>
      </c>
      <c r="F67" s="511">
        <f t="shared" si="2"/>
        <v>1.0499999999999995E-2</v>
      </c>
    </row>
    <row r="68" spans="1:6" ht="9.75" customHeight="1">
      <c r="A68" s="508" t="s">
        <v>535</v>
      </c>
      <c r="B68" s="508" t="s">
        <v>1539</v>
      </c>
      <c r="C68" s="509" t="s">
        <v>409</v>
      </c>
      <c r="D68" s="509">
        <f t="shared" si="0"/>
        <v>200</v>
      </c>
      <c r="E68" s="510">
        <f t="shared" si="1"/>
        <v>0.09</v>
      </c>
      <c r="F68" s="511">
        <f t="shared" si="2"/>
        <v>0.03</v>
      </c>
    </row>
    <row r="69" spans="1:6" ht="9.75" customHeight="1">
      <c r="A69" s="508" t="s">
        <v>532</v>
      </c>
      <c r="B69" s="508" t="s">
        <v>1539</v>
      </c>
      <c r="C69" s="509" t="s">
        <v>409</v>
      </c>
      <c r="D69" s="509">
        <f t="shared" si="0"/>
        <v>200</v>
      </c>
      <c r="E69" s="510">
        <f t="shared" si="1"/>
        <v>0.09</v>
      </c>
      <c r="F69" s="511">
        <f t="shared" si="2"/>
        <v>0.03</v>
      </c>
    </row>
    <row r="70" spans="1:6" ht="9.75" customHeight="1">
      <c r="A70" s="508" t="s">
        <v>530</v>
      </c>
      <c r="B70" s="508" t="s">
        <v>1537</v>
      </c>
      <c r="C70" s="509" t="s">
        <v>409</v>
      </c>
      <c r="D70" s="509">
        <f t="shared" si="0"/>
        <v>200</v>
      </c>
      <c r="E70" s="510">
        <f t="shared" si="1"/>
        <v>0.09</v>
      </c>
      <c r="F70" s="511">
        <f t="shared" si="2"/>
        <v>0.03</v>
      </c>
    </row>
    <row r="71" spans="1:6" ht="9.75" customHeight="1">
      <c r="A71" s="508" t="s">
        <v>529</v>
      </c>
      <c r="B71" s="508" t="s">
        <v>1542</v>
      </c>
      <c r="C71" s="509" t="s">
        <v>416</v>
      </c>
      <c r="D71" s="509">
        <f t="shared" si="0"/>
        <v>700</v>
      </c>
      <c r="E71" s="510">
        <f t="shared" si="1"/>
        <v>0.16500000000000001</v>
      </c>
      <c r="F71" s="511">
        <f t="shared" si="2"/>
        <v>0.10500000000000001</v>
      </c>
    </row>
    <row r="72" spans="1:6" ht="9.75" customHeight="1">
      <c r="A72" s="508" t="s">
        <v>1515</v>
      </c>
      <c r="B72" s="508" t="s">
        <v>1541</v>
      </c>
      <c r="C72" s="509" t="s">
        <v>409</v>
      </c>
      <c r="D72" s="509">
        <f t="shared" si="0"/>
        <v>200</v>
      </c>
      <c r="E72" s="510">
        <f t="shared" si="1"/>
        <v>0.09</v>
      </c>
      <c r="F72" s="511">
        <f t="shared" si="2"/>
        <v>0.03</v>
      </c>
    </row>
    <row r="73" spans="1:6" ht="9.75" customHeight="1">
      <c r="A73" s="508" t="s">
        <v>527</v>
      </c>
      <c r="B73" s="508" t="s">
        <v>1537</v>
      </c>
      <c r="C73" s="509" t="s">
        <v>404</v>
      </c>
      <c r="D73" s="509">
        <f t="shared" si="0"/>
        <v>85</v>
      </c>
      <c r="E73" s="510">
        <f t="shared" si="1"/>
        <v>7.2749999999999995E-2</v>
      </c>
      <c r="F73" s="511">
        <f t="shared" si="2"/>
        <v>1.2749999999999997E-2</v>
      </c>
    </row>
    <row r="74" spans="1:6" ht="9.75" customHeight="1">
      <c r="A74" s="508" t="s">
        <v>526</v>
      </c>
      <c r="B74" s="508" t="s">
        <v>1541</v>
      </c>
      <c r="C74" s="509" t="s">
        <v>400</v>
      </c>
      <c r="D74" s="509">
        <f t="shared" si="0"/>
        <v>0</v>
      </c>
      <c r="E74" s="510">
        <f t="shared" si="1"/>
        <v>0.06</v>
      </c>
      <c r="F74" s="511">
        <f t="shared" si="2"/>
        <v>0</v>
      </c>
    </row>
    <row r="75" spans="1:6" ht="9.75" customHeight="1">
      <c r="A75" s="508" t="s">
        <v>525</v>
      </c>
      <c r="B75" s="508" t="s">
        <v>1542</v>
      </c>
      <c r="C75" s="509" t="s">
        <v>413</v>
      </c>
      <c r="D75" s="509">
        <f t="shared" ref="D75:D106" si="3">VLOOKUP(C75,$G$44:$H$62,2)</f>
        <v>400</v>
      </c>
      <c r="E75" s="510">
        <f t="shared" ref="E75:E106" si="4">$E$12+(D75/10000)*1.5</f>
        <v>0.12</v>
      </c>
      <c r="F75" s="511">
        <f t="shared" ref="F75:F106" si="5">E75-$E$12</f>
        <v>0.06</v>
      </c>
    </row>
    <row r="76" spans="1:6" ht="9.75" customHeight="1">
      <c r="A76" s="508" t="s">
        <v>524</v>
      </c>
      <c r="B76" s="508" t="s">
        <v>1539</v>
      </c>
      <c r="C76" s="509" t="s">
        <v>417</v>
      </c>
      <c r="D76" s="509">
        <f t="shared" si="3"/>
        <v>850</v>
      </c>
      <c r="E76" s="510">
        <f t="shared" si="4"/>
        <v>0.1875</v>
      </c>
      <c r="F76" s="511">
        <f t="shared" si="5"/>
        <v>0.1275</v>
      </c>
    </row>
    <row r="77" spans="1:6" ht="9.75" customHeight="1">
      <c r="A77" s="508" t="s">
        <v>523</v>
      </c>
      <c r="B77" s="508" t="s">
        <v>1538</v>
      </c>
      <c r="C77" s="509" t="s">
        <v>414</v>
      </c>
      <c r="D77" s="509">
        <f t="shared" si="3"/>
        <v>500</v>
      </c>
      <c r="E77" s="510">
        <f t="shared" si="4"/>
        <v>0.13500000000000001</v>
      </c>
      <c r="F77" s="511">
        <f t="shared" si="5"/>
        <v>7.5000000000000011E-2</v>
      </c>
    </row>
    <row r="78" spans="1:6" ht="9.75" customHeight="1">
      <c r="A78" s="508" t="s">
        <v>522</v>
      </c>
      <c r="B78" s="508" t="s">
        <v>1539</v>
      </c>
      <c r="C78" s="509" t="s">
        <v>411</v>
      </c>
      <c r="D78" s="509">
        <f t="shared" si="3"/>
        <v>275</v>
      </c>
      <c r="E78" s="510">
        <f t="shared" si="4"/>
        <v>0.10125000000000001</v>
      </c>
      <c r="F78" s="511">
        <f t="shared" si="5"/>
        <v>4.1250000000000009E-2</v>
      </c>
    </row>
    <row r="79" spans="1:6" ht="9.75" customHeight="1">
      <c r="A79" s="508" t="s">
        <v>521</v>
      </c>
      <c r="B79" s="508" t="s">
        <v>1537</v>
      </c>
      <c r="C79" s="509" t="s">
        <v>404</v>
      </c>
      <c r="D79" s="509">
        <f t="shared" si="3"/>
        <v>85</v>
      </c>
      <c r="E79" s="510">
        <f t="shared" si="4"/>
        <v>7.2749999999999995E-2</v>
      </c>
      <c r="F79" s="511">
        <f t="shared" si="5"/>
        <v>1.2749999999999997E-2</v>
      </c>
    </row>
    <row r="80" spans="1:6" ht="9.75" customHeight="1">
      <c r="A80" s="508" t="s">
        <v>1516</v>
      </c>
      <c r="B80" s="508" t="s">
        <v>1544</v>
      </c>
      <c r="C80" s="509" t="s">
        <v>413</v>
      </c>
      <c r="D80" s="509">
        <f t="shared" si="3"/>
        <v>400</v>
      </c>
      <c r="E80" s="510">
        <f t="shared" si="4"/>
        <v>0.12</v>
      </c>
      <c r="F80" s="511">
        <f t="shared" si="5"/>
        <v>0.06</v>
      </c>
    </row>
    <row r="81" spans="1:6" ht="9.75" customHeight="1">
      <c r="A81" s="508" t="s">
        <v>1517</v>
      </c>
      <c r="B81" s="508" t="s">
        <v>1541</v>
      </c>
      <c r="C81" s="509" t="s">
        <v>400</v>
      </c>
      <c r="D81" s="509">
        <f t="shared" si="3"/>
        <v>0</v>
      </c>
      <c r="E81" s="510">
        <f t="shared" si="4"/>
        <v>0.06</v>
      </c>
      <c r="F81" s="511">
        <f t="shared" si="5"/>
        <v>0</v>
      </c>
    </row>
    <row r="82" spans="1:6" ht="9.75" customHeight="1">
      <c r="A82" s="508" t="s">
        <v>1518</v>
      </c>
      <c r="B82" s="508" t="s">
        <v>1541</v>
      </c>
      <c r="C82" s="509" t="s">
        <v>400</v>
      </c>
      <c r="D82" s="509">
        <f t="shared" si="3"/>
        <v>0</v>
      </c>
      <c r="E82" s="510">
        <f t="shared" si="4"/>
        <v>0.06</v>
      </c>
      <c r="F82" s="511">
        <f t="shared" si="5"/>
        <v>0</v>
      </c>
    </row>
    <row r="83" spans="1:6" ht="9.75" customHeight="1">
      <c r="A83" s="508" t="s">
        <v>1519</v>
      </c>
      <c r="B83" s="508" t="s">
        <v>1537</v>
      </c>
      <c r="C83" s="509" t="s">
        <v>412</v>
      </c>
      <c r="D83" s="509">
        <f t="shared" si="3"/>
        <v>325</v>
      </c>
      <c r="E83" s="510">
        <f t="shared" si="4"/>
        <v>0.10875</v>
      </c>
      <c r="F83" s="511">
        <f t="shared" si="5"/>
        <v>4.8750000000000002E-2</v>
      </c>
    </row>
    <row r="84" spans="1:6" ht="9.75" customHeight="1">
      <c r="A84" s="508" t="s">
        <v>1520</v>
      </c>
      <c r="B84" s="508" t="s">
        <v>1541</v>
      </c>
      <c r="C84" s="509" t="s">
        <v>400</v>
      </c>
      <c r="D84" s="509">
        <f t="shared" si="3"/>
        <v>0</v>
      </c>
      <c r="E84" s="510">
        <f t="shared" si="4"/>
        <v>0.06</v>
      </c>
      <c r="F84" s="511">
        <f t="shared" si="5"/>
        <v>0</v>
      </c>
    </row>
    <row r="85" spans="1:6" ht="9.75" customHeight="1">
      <c r="A85" s="508" t="s">
        <v>1521</v>
      </c>
      <c r="B85" s="508" t="s">
        <v>1541</v>
      </c>
      <c r="C85" s="509" t="s">
        <v>416</v>
      </c>
      <c r="D85" s="509">
        <f t="shared" si="3"/>
        <v>700</v>
      </c>
      <c r="E85" s="510">
        <f t="shared" si="4"/>
        <v>0.16500000000000001</v>
      </c>
      <c r="F85" s="511">
        <f t="shared" si="5"/>
        <v>0.10500000000000001</v>
      </c>
    </row>
    <row r="86" spans="1:6" ht="9.75" customHeight="1">
      <c r="A86" s="508" t="s">
        <v>512</v>
      </c>
      <c r="B86" s="508" t="s">
        <v>1539</v>
      </c>
      <c r="C86" s="509" t="s">
        <v>410</v>
      </c>
      <c r="D86" s="509">
        <f t="shared" si="3"/>
        <v>240</v>
      </c>
      <c r="E86" s="510">
        <f t="shared" si="4"/>
        <v>9.6000000000000002E-2</v>
      </c>
      <c r="F86" s="511">
        <f t="shared" si="5"/>
        <v>3.6000000000000004E-2</v>
      </c>
    </row>
    <row r="87" spans="1:6" ht="9.75" customHeight="1">
      <c r="A87" s="508" t="s">
        <v>507</v>
      </c>
      <c r="B87" s="508" t="s">
        <v>1539</v>
      </c>
      <c r="C87" s="509" t="s">
        <v>414</v>
      </c>
      <c r="D87" s="509">
        <f t="shared" si="3"/>
        <v>500</v>
      </c>
      <c r="E87" s="510">
        <f t="shared" si="4"/>
        <v>0.13500000000000001</v>
      </c>
      <c r="F87" s="511">
        <f t="shared" si="5"/>
        <v>7.5000000000000011E-2</v>
      </c>
    </row>
    <row r="88" spans="1:6" ht="9.75" customHeight="1">
      <c r="A88" s="508" t="s">
        <v>506</v>
      </c>
      <c r="B88" s="508" t="s">
        <v>1544</v>
      </c>
      <c r="C88" s="509" t="s">
        <v>401</v>
      </c>
      <c r="D88" s="509">
        <f t="shared" si="3"/>
        <v>25</v>
      </c>
      <c r="E88" s="510">
        <f t="shared" si="4"/>
        <v>6.3750000000000001E-2</v>
      </c>
      <c r="F88" s="511">
        <f t="shared" si="5"/>
        <v>3.7500000000000033E-3</v>
      </c>
    </row>
    <row r="89" spans="1:6" ht="9.75" customHeight="1">
      <c r="A89" s="508" t="s">
        <v>505</v>
      </c>
      <c r="B89" s="508" t="s">
        <v>1537</v>
      </c>
      <c r="C89" s="509" t="s">
        <v>410</v>
      </c>
      <c r="D89" s="509">
        <f t="shared" si="3"/>
        <v>240</v>
      </c>
      <c r="E89" s="510">
        <f t="shared" si="4"/>
        <v>9.6000000000000002E-2</v>
      </c>
      <c r="F89" s="511">
        <f t="shared" si="5"/>
        <v>3.6000000000000004E-2</v>
      </c>
    </row>
    <row r="90" spans="1:6" ht="9.75" customHeight="1">
      <c r="A90" s="508" t="s">
        <v>504</v>
      </c>
      <c r="B90" s="508" t="s">
        <v>1541</v>
      </c>
      <c r="C90" s="509" t="s">
        <v>409</v>
      </c>
      <c r="D90" s="509">
        <f t="shared" si="3"/>
        <v>200</v>
      </c>
      <c r="E90" s="510">
        <f t="shared" si="4"/>
        <v>0.09</v>
      </c>
      <c r="F90" s="511">
        <f t="shared" si="5"/>
        <v>0.03</v>
      </c>
    </row>
    <row r="91" spans="1:6" ht="9.75" customHeight="1">
      <c r="A91" s="508" t="s">
        <v>503</v>
      </c>
      <c r="B91" s="508" t="s">
        <v>1544</v>
      </c>
      <c r="C91" s="509" t="s">
        <v>409</v>
      </c>
      <c r="D91" s="509">
        <f t="shared" si="3"/>
        <v>200</v>
      </c>
      <c r="E91" s="510">
        <f t="shared" si="4"/>
        <v>0.09</v>
      </c>
      <c r="F91" s="511">
        <f t="shared" si="5"/>
        <v>0.03</v>
      </c>
    </row>
    <row r="92" spans="1:6" ht="9.75" customHeight="1">
      <c r="A92" s="508" t="s">
        <v>502</v>
      </c>
      <c r="B92" s="508" t="s">
        <v>1544</v>
      </c>
      <c r="C92" s="509" t="s">
        <v>410</v>
      </c>
      <c r="D92" s="509">
        <f t="shared" si="3"/>
        <v>240</v>
      </c>
      <c r="E92" s="510">
        <f t="shared" si="4"/>
        <v>9.6000000000000002E-2</v>
      </c>
      <c r="F92" s="511">
        <f t="shared" si="5"/>
        <v>3.6000000000000004E-2</v>
      </c>
    </row>
    <row r="93" spans="1:6" ht="9.75" customHeight="1">
      <c r="A93" s="508" t="s">
        <v>1522</v>
      </c>
      <c r="B93" s="508" t="s">
        <v>1541</v>
      </c>
      <c r="C93" s="509" t="s">
        <v>410</v>
      </c>
      <c r="D93" s="509">
        <f t="shared" si="3"/>
        <v>240</v>
      </c>
      <c r="E93" s="510">
        <f t="shared" si="4"/>
        <v>9.6000000000000002E-2</v>
      </c>
      <c r="F93" s="511">
        <f t="shared" si="5"/>
        <v>3.6000000000000004E-2</v>
      </c>
    </row>
    <row r="94" spans="1:6" ht="9.75" customHeight="1">
      <c r="A94" s="508" t="s">
        <v>1523</v>
      </c>
      <c r="B94" s="508" t="s">
        <v>1546</v>
      </c>
      <c r="C94" s="509" t="s">
        <v>400</v>
      </c>
      <c r="D94" s="509">
        <f t="shared" si="3"/>
        <v>0</v>
      </c>
      <c r="E94" s="510">
        <f t="shared" si="4"/>
        <v>0.06</v>
      </c>
      <c r="F94" s="511">
        <f t="shared" si="5"/>
        <v>0</v>
      </c>
    </row>
    <row r="95" spans="1:6" ht="9.75" customHeight="1">
      <c r="A95" s="508" t="s">
        <v>498</v>
      </c>
      <c r="B95" s="508" t="s">
        <v>1543</v>
      </c>
      <c r="C95" s="509" t="s">
        <v>404</v>
      </c>
      <c r="D95" s="509">
        <f t="shared" si="3"/>
        <v>85</v>
      </c>
      <c r="E95" s="510">
        <f t="shared" si="4"/>
        <v>7.2749999999999995E-2</v>
      </c>
      <c r="F95" s="511">
        <f t="shared" si="5"/>
        <v>1.2749999999999997E-2</v>
      </c>
    </row>
    <row r="96" spans="1:6" ht="9.75" customHeight="1">
      <c r="A96" s="508" t="s">
        <v>1524</v>
      </c>
      <c r="B96" s="508" t="s">
        <v>1541</v>
      </c>
      <c r="C96" s="509" t="s">
        <v>405</v>
      </c>
      <c r="D96" s="509">
        <f t="shared" si="3"/>
        <v>100</v>
      </c>
      <c r="E96" s="510">
        <f t="shared" si="4"/>
        <v>7.4999999999999997E-2</v>
      </c>
      <c r="F96" s="511">
        <f t="shared" si="5"/>
        <v>1.4999999999999999E-2</v>
      </c>
    </row>
    <row r="97" spans="1:6" ht="9.75" customHeight="1">
      <c r="A97" s="508" t="s">
        <v>496</v>
      </c>
      <c r="B97" s="508" t="s">
        <v>1542</v>
      </c>
      <c r="C97" s="509" t="s">
        <v>415</v>
      </c>
      <c r="D97" s="509">
        <f t="shared" si="3"/>
        <v>600</v>
      </c>
      <c r="E97" s="510">
        <f t="shared" si="4"/>
        <v>0.15</v>
      </c>
      <c r="F97" s="511">
        <f t="shared" si="5"/>
        <v>0.09</v>
      </c>
    </row>
    <row r="98" spans="1:6" ht="9.75" customHeight="1">
      <c r="A98" s="508" t="s">
        <v>495</v>
      </c>
      <c r="B98" s="508" t="s">
        <v>1544</v>
      </c>
      <c r="C98" s="509" t="s">
        <v>403</v>
      </c>
      <c r="D98" s="509">
        <f t="shared" si="3"/>
        <v>70</v>
      </c>
      <c r="E98" s="510">
        <f t="shared" si="4"/>
        <v>7.0499999999999993E-2</v>
      </c>
      <c r="F98" s="511">
        <f t="shared" si="5"/>
        <v>1.0499999999999995E-2</v>
      </c>
    </row>
    <row r="99" spans="1:6" ht="9.75" customHeight="1">
      <c r="A99" s="508" t="s">
        <v>494</v>
      </c>
      <c r="B99" s="508" t="s">
        <v>1543</v>
      </c>
      <c r="C99" s="509" t="s">
        <v>411</v>
      </c>
      <c r="D99" s="509">
        <f t="shared" si="3"/>
        <v>275</v>
      </c>
      <c r="E99" s="510">
        <f t="shared" si="4"/>
        <v>0.10125000000000001</v>
      </c>
      <c r="F99" s="511">
        <f t="shared" si="5"/>
        <v>4.1250000000000009E-2</v>
      </c>
    </row>
    <row r="100" spans="1:6" ht="9.75" customHeight="1">
      <c r="A100" s="508" t="s">
        <v>493</v>
      </c>
      <c r="B100" s="508" t="s">
        <v>1537</v>
      </c>
      <c r="C100" s="509" t="s">
        <v>408</v>
      </c>
      <c r="D100" s="509">
        <f t="shared" si="3"/>
        <v>175</v>
      </c>
      <c r="E100" s="510">
        <f t="shared" si="4"/>
        <v>8.6249999999999993E-2</v>
      </c>
      <c r="F100" s="511">
        <f t="shared" si="5"/>
        <v>2.6249999999999996E-2</v>
      </c>
    </row>
    <row r="101" spans="1:6" ht="9.75" customHeight="1">
      <c r="A101" s="508" t="s">
        <v>1068</v>
      </c>
      <c r="B101" s="508" t="s">
        <v>1544</v>
      </c>
      <c r="C101" s="509" t="s">
        <v>404</v>
      </c>
      <c r="D101" s="509">
        <f t="shared" si="3"/>
        <v>85</v>
      </c>
      <c r="E101" s="510">
        <f t="shared" si="4"/>
        <v>7.2749999999999995E-2</v>
      </c>
      <c r="F101" s="511">
        <f t="shared" si="5"/>
        <v>1.2749999999999997E-2</v>
      </c>
    </row>
    <row r="102" spans="1:6" ht="9.75" customHeight="1">
      <c r="A102" s="508" t="s">
        <v>489</v>
      </c>
      <c r="B102" s="508" t="s">
        <v>1543</v>
      </c>
      <c r="C102" s="509" t="s">
        <v>402</v>
      </c>
      <c r="D102" s="509">
        <f t="shared" si="3"/>
        <v>50</v>
      </c>
      <c r="E102" s="510">
        <f t="shared" si="4"/>
        <v>6.7500000000000004E-2</v>
      </c>
      <c r="F102" s="511">
        <f t="shared" si="5"/>
        <v>7.5000000000000067E-3</v>
      </c>
    </row>
    <row r="103" spans="1:6" ht="9.75" customHeight="1">
      <c r="A103" s="508" t="s">
        <v>488</v>
      </c>
      <c r="B103" s="508" t="s">
        <v>1537</v>
      </c>
      <c r="C103" s="509" t="s">
        <v>409</v>
      </c>
      <c r="D103" s="509">
        <f t="shared" si="3"/>
        <v>200</v>
      </c>
      <c r="E103" s="510">
        <f t="shared" si="4"/>
        <v>0.09</v>
      </c>
      <c r="F103" s="511">
        <f t="shared" si="5"/>
        <v>0.03</v>
      </c>
    </row>
    <row r="104" spans="1:6" ht="9.75" customHeight="1">
      <c r="A104" s="508" t="s">
        <v>487</v>
      </c>
      <c r="B104" s="508" t="s">
        <v>1543</v>
      </c>
      <c r="C104" s="509" t="s">
        <v>413</v>
      </c>
      <c r="D104" s="509">
        <f t="shared" si="3"/>
        <v>400</v>
      </c>
      <c r="E104" s="510">
        <f t="shared" si="4"/>
        <v>0.12</v>
      </c>
      <c r="F104" s="511">
        <f t="shared" si="5"/>
        <v>0.06</v>
      </c>
    </row>
    <row r="105" spans="1:6" ht="9.75" customHeight="1">
      <c r="A105" s="508" t="s">
        <v>484</v>
      </c>
      <c r="B105" s="508" t="s">
        <v>1537</v>
      </c>
      <c r="C105" s="509" t="s">
        <v>407</v>
      </c>
      <c r="D105" s="509">
        <f t="shared" si="3"/>
        <v>150</v>
      </c>
      <c r="E105" s="510">
        <f t="shared" si="4"/>
        <v>8.249999999999999E-2</v>
      </c>
      <c r="F105" s="511">
        <f t="shared" si="5"/>
        <v>2.2499999999999992E-2</v>
      </c>
    </row>
    <row r="106" spans="1:6" ht="9.75" customHeight="1">
      <c r="A106" s="508" t="s">
        <v>1525</v>
      </c>
      <c r="B106" s="508" t="s">
        <v>1546</v>
      </c>
      <c r="C106" s="509" t="s">
        <v>400</v>
      </c>
      <c r="D106" s="509">
        <f t="shared" si="3"/>
        <v>0</v>
      </c>
      <c r="E106" s="510">
        <f t="shared" si="4"/>
        <v>0.06</v>
      </c>
      <c r="F106" s="511">
        <f t="shared" si="5"/>
        <v>0</v>
      </c>
    </row>
    <row r="107" spans="1:6" ht="9.75" customHeight="1">
      <c r="A107" s="508" t="s">
        <v>1526</v>
      </c>
      <c r="B107" s="508" t="s">
        <v>1544</v>
      </c>
      <c r="C107" s="509" t="s">
        <v>403</v>
      </c>
      <c r="D107" s="509">
        <f t="shared" ref="D107:D138" si="6">VLOOKUP(C107,$G$44:$H$62,2)</f>
        <v>70</v>
      </c>
      <c r="E107" s="510">
        <f t="shared" ref="E107:E138" si="7">$E$12+(D107/10000)*1.5</f>
        <v>7.0499999999999993E-2</v>
      </c>
      <c r="F107" s="511">
        <f t="shared" ref="F107:F138" si="8">E107-$E$12</f>
        <v>1.0499999999999995E-2</v>
      </c>
    </row>
    <row r="108" spans="1:6" ht="9.75" customHeight="1">
      <c r="A108" s="508" t="s">
        <v>480</v>
      </c>
      <c r="B108" s="508" t="s">
        <v>1544</v>
      </c>
      <c r="C108" s="509" t="s">
        <v>406</v>
      </c>
      <c r="D108" s="509">
        <f t="shared" si="6"/>
        <v>115</v>
      </c>
      <c r="E108" s="510">
        <f t="shared" si="7"/>
        <v>7.7249999999999999E-2</v>
      </c>
      <c r="F108" s="511">
        <f t="shared" si="8"/>
        <v>1.7250000000000001E-2</v>
      </c>
    </row>
    <row r="109" spans="1:6" ht="9.75" customHeight="1">
      <c r="A109" s="508" t="s">
        <v>1527</v>
      </c>
      <c r="B109" s="508" t="s">
        <v>1541</v>
      </c>
      <c r="C109" s="509" t="s">
        <v>405</v>
      </c>
      <c r="D109" s="509">
        <f t="shared" si="6"/>
        <v>100</v>
      </c>
      <c r="E109" s="510">
        <f t="shared" si="7"/>
        <v>7.4999999999999997E-2</v>
      </c>
      <c r="F109" s="511">
        <f t="shared" si="8"/>
        <v>1.4999999999999999E-2</v>
      </c>
    </row>
    <row r="110" spans="1:6" ht="9.75" customHeight="1">
      <c r="A110" s="508" t="s">
        <v>1528</v>
      </c>
      <c r="B110" s="508" t="s">
        <v>1538</v>
      </c>
      <c r="C110" s="509" t="s">
        <v>408</v>
      </c>
      <c r="D110" s="509">
        <f t="shared" si="6"/>
        <v>175</v>
      </c>
      <c r="E110" s="510">
        <f t="shared" si="7"/>
        <v>8.6249999999999993E-2</v>
      </c>
      <c r="F110" s="511">
        <f t="shared" si="8"/>
        <v>2.6249999999999996E-2</v>
      </c>
    </row>
    <row r="111" spans="1:6" ht="9.75" customHeight="1">
      <c r="A111" s="508" t="s">
        <v>477</v>
      </c>
      <c r="B111" s="508" t="s">
        <v>1539</v>
      </c>
      <c r="C111" s="509" t="s">
        <v>407</v>
      </c>
      <c r="D111" s="509">
        <f t="shared" si="6"/>
        <v>150</v>
      </c>
      <c r="E111" s="510">
        <f t="shared" si="7"/>
        <v>8.249999999999999E-2</v>
      </c>
      <c r="F111" s="511">
        <f t="shared" si="8"/>
        <v>2.2499999999999992E-2</v>
      </c>
    </row>
    <row r="112" spans="1:6" ht="9.75" customHeight="1">
      <c r="A112" s="508" t="s">
        <v>476</v>
      </c>
      <c r="B112" s="508" t="s">
        <v>1537</v>
      </c>
      <c r="C112" s="509" t="s">
        <v>415</v>
      </c>
      <c r="D112" s="509">
        <f t="shared" si="6"/>
        <v>600</v>
      </c>
      <c r="E112" s="510">
        <f t="shared" si="7"/>
        <v>0.15</v>
      </c>
      <c r="F112" s="511">
        <f t="shared" si="8"/>
        <v>0.09</v>
      </c>
    </row>
    <row r="113" spans="1:6" ht="9.75" customHeight="1">
      <c r="A113" s="508" t="s">
        <v>475</v>
      </c>
      <c r="B113" s="508" t="s">
        <v>1544</v>
      </c>
      <c r="C113" s="509" t="s">
        <v>413</v>
      </c>
      <c r="D113" s="509">
        <f t="shared" si="6"/>
        <v>400</v>
      </c>
      <c r="E113" s="510">
        <f t="shared" si="7"/>
        <v>0.12</v>
      </c>
      <c r="F113" s="511">
        <f t="shared" si="8"/>
        <v>0.06</v>
      </c>
    </row>
    <row r="114" spans="1:6" ht="9.75" customHeight="1">
      <c r="A114" s="508" t="s">
        <v>1529</v>
      </c>
      <c r="B114" s="508" t="s">
        <v>1537</v>
      </c>
      <c r="C114" s="509" t="s">
        <v>412</v>
      </c>
      <c r="D114" s="509">
        <f t="shared" si="6"/>
        <v>325</v>
      </c>
      <c r="E114" s="510">
        <f t="shared" si="7"/>
        <v>0.10875</v>
      </c>
      <c r="F114" s="511">
        <f t="shared" si="8"/>
        <v>4.8750000000000002E-2</v>
      </c>
    </row>
    <row r="115" spans="1:6" ht="9.75" customHeight="1">
      <c r="A115" s="508" t="s">
        <v>474</v>
      </c>
      <c r="B115" s="508" t="s">
        <v>1538</v>
      </c>
      <c r="C115" s="509" t="s">
        <v>410</v>
      </c>
      <c r="D115" s="509">
        <f t="shared" si="6"/>
        <v>240</v>
      </c>
      <c r="E115" s="510">
        <f t="shared" si="7"/>
        <v>9.6000000000000002E-2</v>
      </c>
      <c r="F115" s="511">
        <f t="shared" si="8"/>
        <v>3.6000000000000004E-2</v>
      </c>
    </row>
    <row r="116" spans="1:6" ht="9.75" customHeight="1">
      <c r="A116" s="508" t="s">
        <v>471</v>
      </c>
      <c r="B116" s="508" t="s">
        <v>1538</v>
      </c>
      <c r="C116" s="509" t="s">
        <v>409</v>
      </c>
      <c r="D116" s="509">
        <f t="shared" si="6"/>
        <v>200</v>
      </c>
      <c r="E116" s="510">
        <f t="shared" si="7"/>
        <v>0.09</v>
      </c>
      <c r="F116" s="511">
        <f t="shared" si="8"/>
        <v>0.03</v>
      </c>
    </row>
    <row r="117" spans="1:6" ht="9.75" customHeight="1">
      <c r="A117" s="508" t="s">
        <v>1530</v>
      </c>
      <c r="B117" s="508" t="s">
        <v>1541</v>
      </c>
      <c r="C117" s="509" t="s">
        <v>400</v>
      </c>
      <c r="D117" s="509">
        <f t="shared" si="6"/>
        <v>0</v>
      </c>
      <c r="E117" s="510">
        <f t="shared" si="7"/>
        <v>0.06</v>
      </c>
      <c r="F117" s="511">
        <f t="shared" si="8"/>
        <v>0</v>
      </c>
    </row>
    <row r="118" spans="1:6" ht="9.75" customHeight="1">
      <c r="A118" s="508" t="s">
        <v>469</v>
      </c>
      <c r="B118" s="508" t="s">
        <v>1540</v>
      </c>
      <c r="C118" s="509" t="s">
        <v>400</v>
      </c>
      <c r="D118" s="509">
        <f t="shared" si="6"/>
        <v>0</v>
      </c>
      <c r="E118" s="510">
        <f t="shared" si="7"/>
        <v>0.06</v>
      </c>
      <c r="F118" s="511">
        <f t="shared" si="8"/>
        <v>0</v>
      </c>
    </row>
    <row r="119" spans="1:6" ht="9.75" customHeight="1">
      <c r="A119" s="508" t="s">
        <v>468</v>
      </c>
      <c r="B119" s="508" t="s">
        <v>1539</v>
      </c>
      <c r="C119" s="509" t="s">
        <v>415</v>
      </c>
      <c r="D119" s="509">
        <f t="shared" si="6"/>
        <v>600</v>
      </c>
      <c r="E119" s="510">
        <f t="shared" si="7"/>
        <v>0.15</v>
      </c>
      <c r="F119" s="511">
        <f t="shared" si="8"/>
        <v>0.09</v>
      </c>
    </row>
    <row r="120" spans="1:6" ht="9.75" customHeight="1">
      <c r="A120" s="508" t="s">
        <v>465</v>
      </c>
      <c r="B120" s="508" t="s">
        <v>1541</v>
      </c>
      <c r="C120" s="509" t="s">
        <v>400</v>
      </c>
      <c r="D120" s="509">
        <f t="shared" si="6"/>
        <v>0</v>
      </c>
      <c r="E120" s="510">
        <f t="shared" si="7"/>
        <v>0.06</v>
      </c>
      <c r="F120" s="511">
        <f t="shared" si="8"/>
        <v>0</v>
      </c>
    </row>
    <row r="121" spans="1:6" ht="9.75" customHeight="1">
      <c r="A121" s="508" t="s">
        <v>464</v>
      </c>
      <c r="B121" s="508" t="s">
        <v>1543</v>
      </c>
      <c r="C121" s="509" t="s">
        <v>404</v>
      </c>
      <c r="D121" s="509">
        <f t="shared" si="6"/>
        <v>85</v>
      </c>
      <c r="E121" s="510">
        <f t="shared" si="7"/>
        <v>7.2749999999999995E-2</v>
      </c>
      <c r="F121" s="511">
        <f t="shared" si="8"/>
        <v>1.2749999999999997E-2</v>
      </c>
    </row>
    <row r="122" spans="1:6" ht="9.75" customHeight="1">
      <c r="A122" s="508" t="s">
        <v>463</v>
      </c>
      <c r="B122" s="508" t="s">
        <v>1544</v>
      </c>
      <c r="C122" s="509" t="s">
        <v>415</v>
      </c>
      <c r="D122" s="509">
        <f t="shared" si="6"/>
        <v>600</v>
      </c>
      <c r="E122" s="510">
        <f t="shared" si="7"/>
        <v>0.15</v>
      </c>
      <c r="F122" s="511">
        <f t="shared" si="8"/>
        <v>0.09</v>
      </c>
    </row>
    <row r="123" spans="1:6" ht="9.75" customHeight="1">
      <c r="A123" s="508" t="s">
        <v>462</v>
      </c>
      <c r="B123" s="508" t="s">
        <v>1539</v>
      </c>
      <c r="C123" s="509" t="s">
        <v>409</v>
      </c>
      <c r="D123" s="509">
        <f t="shared" si="6"/>
        <v>200</v>
      </c>
      <c r="E123" s="510">
        <f t="shared" si="7"/>
        <v>0.09</v>
      </c>
      <c r="F123" s="511">
        <f t="shared" si="8"/>
        <v>0.03</v>
      </c>
    </row>
    <row r="124" spans="1:6" ht="9.75" customHeight="1">
      <c r="A124" s="508" t="s">
        <v>461</v>
      </c>
      <c r="B124" s="508" t="s">
        <v>1544</v>
      </c>
      <c r="C124" s="509" t="s">
        <v>413</v>
      </c>
      <c r="D124" s="509">
        <f t="shared" si="6"/>
        <v>400</v>
      </c>
      <c r="E124" s="510">
        <f t="shared" si="7"/>
        <v>0.12</v>
      </c>
      <c r="F124" s="511">
        <f t="shared" si="8"/>
        <v>0.06</v>
      </c>
    </row>
    <row r="125" spans="1:6" ht="9.75" customHeight="1">
      <c r="A125" s="508" t="s">
        <v>460</v>
      </c>
      <c r="B125" s="508" t="s">
        <v>1539</v>
      </c>
      <c r="C125" s="509" t="s">
        <v>413</v>
      </c>
      <c r="D125" s="509">
        <f t="shared" si="6"/>
        <v>400</v>
      </c>
      <c r="E125" s="510">
        <f t="shared" si="7"/>
        <v>0.12</v>
      </c>
      <c r="F125" s="511">
        <f t="shared" si="8"/>
        <v>0.06</v>
      </c>
    </row>
    <row r="126" spans="1:6" ht="9.75" customHeight="1">
      <c r="A126" s="508" t="s">
        <v>459</v>
      </c>
      <c r="B126" s="508" t="s">
        <v>1539</v>
      </c>
      <c r="C126" s="509" t="s">
        <v>409</v>
      </c>
      <c r="D126" s="509">
        <f t="shared" si="6"/>
        <v>200</v>
      </c>
      <c r="E126" s="510">
        <f t="shared" si="7"/>
        <v>0.09</v>
      </c>
      <c r="F126" s="511">
        <f t="shared" si="8"/>
        <v>0.03</v>
      </c>
    </row>
    <row r="127" spans="1:6" ht="9.75" customHeight="1">
      <c r="A127" s="508" t="s">
        <v>458</v>
      </c>
      <c r="B127" s="508" t="s">
        <v>1544</v>
      </c>
      <c r="C127" s="509" t="s">
        <v>411</v>
      </c>
      <c r="D127" s="509">
        <f t="shared" si="6"/>
        <v>275</v>
      </c>
      <c r="E127" s="510">
        <f t="shared" si="7"/>
        <v>0.10125000000000001</v>
      </c>
      <c r="F127" s="511">
        <f t="shared" si="8"/>
        <v>4.1250000000000009E-2</v>
      </c>
    </row>
    <row r="128" spans="1:6" ht="9.75" customHeight="1">
      <c r="A128" s="508" t="s">
        <v>457</v>
      </c>
      <c r="B128" s="508" t="s">
        <v>1537</v>
      </c>
      <c r="C128" s="509" t="s">
        <v>405</v>
      </c>
      <c r="D128" s="509">
        <f t="shared" si="6"/>
        <v>100</v>
      </c>
      <c r="E128" s="510">
        <f t="shared" si="7"/>
        <v>7.4999999999999997E-2</v>
      </c>
      <c r="F128" s="511">
        <f t="shared" si="8"/>
        <v>1.4999999999999999E-2</v>
      </c>
    </row>
    <row r="129" spans="1:6" ht="9.75" customHeight="1">
      <c r="A129" s="508" t="s">
        <v>1531</v>
      </c>
      <c r="B129" s="508" t="s">
        <v>1541</v>
      </c>
      <c r="C129" s="509" t="s">
        <v>411</v>
      </c>
      <c r="D129" s="509">
        <f t="shared" si="6"/>
        <v>275</v>
      </c>
      <c r="E129" s="510">
        <f t="shared" si="7"/>
        <v>0.10125000000000001</v>
      </c>
      <c r="F129" s="511">
        <f t="shared" si="8"/>
        <v>4.1250000000000009E-2</v>
      </c>
    </row>
    <row r="130" spans="1:6" ht="9.75" customHeight="1">
      <c r="A130" s="508" t="s">
        <v>455</v>
      </c>
      <c r="B130" s="508" t="s">
        <v>1543</v>
      </c>
      <c r="C130" s="509" t="s">
        <v>402</v>
      </c>
      <c r="D130" s="509">
        <f t="shared" si="6"/>
        <v>50</v>
      </c>
      <c r="E130" s="510">
        <f t="shared" si="7"/>
        <v>6.7500000000000004E-2</v>
      </c>
      <c r="F130" s="511">
        <f t="shared" si="8"/>
        <v>7.5000000000000067E-3</v>
      </c>
    </row>
    <row r="131" spans="1:6" ht="9.75" customHeight="1">
      <c r="A131" s="508" t="s">
        <v>454</v>
      </c>
      <c r="B131" s="508" t="s">
        <v>1537</v>
      </c>
      <c r="C131" s="509" t="s">
        <v>409</v>
      </c>
      <c r="D131" s="509">
        <f t="shared" si="6"/>
        <v>200</v>
      </c>
      <c r="E131" s="510">
        <f t="shared" si="7"/>
        <v>0.09</v>
      </c>
      <c r="F131" s="511">
        <f t="shared" si="8"/>
        <v>0.03</v>
      </c>
    </row>
    <row r="132" spans="1:6" ht="9.75" customHeight="1">
      <c r="A132" s="508" t="s">
        <v>453</v>
      </c>
      <c r="B132" s="508" t="s">
        <v>1537</v>
      </c>
      <c r="C132" s="509" t="s">
        <v>407</v>
      </c>
      <c r="D132" s="509">
        <f t="shared" si="6"/>
        <v>150</v>
      </c>
      <c r="E132" s="510">
        <f t="shared" si="7"/>
        <v>8.249999999999999E-2</v>
      </c>
      <c r="F132" s="511">
        <f t="shared" si="8"/>
        <v>2.2499999999999992E-2</v>
      </c>
    </row>
    <row r="133" spans="1:6" ht="9.75" customHeight="1">
      <c r="A133" s="508" t="s">
        <v>452</v>
      </c>
      <c r="B133" s="508" t="s">
        <v>1543</v>
      </c>
      <c r="C133" s="509" t="s">
        <v>403</v>
      </c>
      <c r="D133" s="509">
        <f t="shared" si="6"/>
        <v>70</v>
      </c>
      <c r="E133" s="510">
        <f t="shared" si="7"/>
        <v>7.0499999999999993E-2</v>
      </c>
      <c r="F133" s="511">
        <f t="shared" si="8"/>
        <v>1.0499999999999995E-2</v>
      </c>
    </row>
    <row r="134" spans="1:6" ht="9.75" customHeight="1">
      <c r="A134" s="508" t="s">
        <v>451</v>
      </c>
      <c r="B134" s="508" t="s">
        <v>1543</v>
      </c>
      <c r="C134" s="509" t="s">
        <v>413</v>
      </c>
      <c r="D134" s="509">
        <f t="shared" si="6"/>
        <v>400</v>
      </c>
      <c r="E134" s="510">
        <f t="shared" si="7"/>
        <v>0.12</v>
      </c>
      <c r="F134" s="511">
        <f t="shared" si="8"/>
        <v>0.06</v>
      </c>
    </row>
    <row r="135" spans="1:6" ht="9.75" customHeight="1">
      <c r="A135" s="508" t="s">
        <v>448</v>
      </c>
      <c r="B135" s="508" t="s">
        <v>1544</v>
      </c>
      <c r="C135" s="509" t="s">
        <v>400</v>
      </c>
      <c r="D135" s="509">
        <f t="shared" si="6"/>
        <v>0</v>
      </c>
      <c r="E135" s="510">
        <f t="shared" si="7"/>
        <v>0.06</v>
      </c>
      <c r="F135" s="511">
        <f t="shared" si="8"/>
        <v>0</v>
      </c>
    </row>
    <row r="136" spans="1:6" ht="9.75" customHeight="1">
      <c r="A136" s="508" t="s">
        <v>447</v>
      </c>
      <c r="B136" s="508" t="s">
        <v>1537</v>
      </c>
      <c r="C136" s="509" t="s">
        <v>404</v>
      </c>
      <c r="D136" s="509">
        <f t="shared" si="6"/>
        <v>85</v>
      </c>
      <c r="E136" s="510">
        <f t="shared" si="7"/>
        <v>7.2749999999999995E-2</v>
      </c>
      <c r="F136" s="511">
        <f t="shared" si="8"/>
        <v>1.2749999999999997E-2</v>
      </c>
    </row>
    <row r="137" spans="1:6" ht="9.75" customHeight="1">
      <c r="A137" s="508" t="s">
        <v>1532</v>
      </c>
      <c r="B137" s="508" t="s">
        <v>1537</v>
      </c>
      <c r="C137" s="509" t="s">
        <v>404</v>
      </c>
      <c r="D137" s="509">
        <f t="shared" si="6"/>
        <v>85</v>
      </c>
      <c r="E137" s="510">
        <f t="shared" si="7"/>
        <v>7.2749999999999995E-2</v>
      </c>
      <c r="F137" s="511">
        <f t="shared" si="8"/>
        <v>1.2749999999999997E-2</v>
      </c>
    </row>
    <row r="138" spans="1:6" ht="9.75" customHeight="1">
      <c r="A138" s="508" t="s">
        <v>444</v>
      </c>
      <c r="B138" s="508" t="s">
        <v>1538</v>
      </c>
      <c r="C138" s="509" t="s">
        <v>406</v>
      </c>
      <c r="D138" s="509">
        <f t="shared" si="6"/>
        <v>115</v>
      </c>
      <c r="E138" s="510">
        <f t="shared" si="7"/>
        <v>7.7249999999999999E-2</v>
      </c>
      <c r="F138" s="511">
        <f t="shared" si="8"/>
        <v>1.7250000000000001E-2</v>
      </c>
    </row>
    <row r="139" spans="1:6" ht="9.75" customHeight="1">
      <c r="A139" s="508" t="s">
        <v>1533</v>
      </c>
      <c r="B139" s="508" t="s">
        <v>1541</v>
      </c>
      <c r="C139" s="509" t="s">
        <v>404</v>
      </c>
      <c r="D139" s="509">
        <f t="shared" ref="D139:D156" si="9">VLOOKUP(C139,$G$44:$H$62,2)</f>
        <v>85</v>
      </c>
      <c r="E139" s="510">
        <f t="shared" ref="E139:E156" si="10">$E$12+(D139/10000)*1.5</f>
        <v>7.2749999999999995E-2</v>
      </c>
      <c r="F139" s="511">
        <f t="shared" ref="F139:F156" si="11">E139-$E$12</f>
        <v>1.2749999999999997E-2</v>
      </c>
    </row>
    <row r="140" spans="1:6" ht="9.75" customHeight="1">
      <c r="A140" s="508" t="s">
        <v>442</v>
      </c>
      <c r="B140" s="508" t="s">
        <v>1544</v>
      </c>
      <c r="C140" s="509" t="s">
        <v>413</v>
      </c>
      <c r="D140" s="509">
        <f t="shared" si="9"/>
        <v>400</v>
      </c>
      <c r="E140" s="510">
        <f t="shared" si="10"/>
        <v>0.12</v>
      </c>
      <c r="F140" s="511">
        <f t="shared" si="11"/>
        <v>0.06</v>
      </c>
    </row>
    <row r="141" spans="1:6" ht="9.75" customHeight="1">
      <c r="A141" s="508" t="s">
        <v>1534</v>
      </c>
      <c r="B141" s="508" t="s">
        <v>1542</v>
      </c>
      <c r="C141" s="509" t="s">
        <v>413</v>
      </c>
      <c r="D141" s="509">
        <f t="shared" si="9"/>
        <v>400</v>
      </c>
      <c r="E141" s="510">
        <f t="shared" si="10"/>
        <v>0.12</v>
      </c>
      <c r="F141" s="511">
        <f t="shared" si="11"/>
        <v>0.06</v>
      </c>
    </row>
    <row r="142" spans="1:6" ht="9.75" customHeight="1">
      <c r="A142" s="508" t="s">
        <v>440</v>
      </c>
      <c r="B142" s="508" t="s">
        <v>1542</v>
      </c>
      <c r="C142" s="509" t="s">
        <v>412</v>
      </c>
      <c r="D142" s="509">
        <f t="shared" si="9"/>
        <v>325</v>
      </c>
      <c r="E142" s="510">
        <f t="shared" si="10"/>
        <v>0.10875</v>
      </c>
      <c r="F142" s="511">
        <f t="shared" si="11"/>
        <v>4.8750000000000002E-2</v>
      </c>
    </row>
    <row r="143" spans="1:6" ht="9.75" customHeight="1">
      <c r="A143" s="508" t="s">
        <v>439</v>
      </c>
      <c r="B143" s="508" t="s">
        <v>1541</v>
      </c>
      <c r="C143" s="509" t="s">
        <v>400</v>
      </c>
      <c r="D143" s="509">
        <f t="shared" si="9"/>
        <v>0</v>
      </c>
      <c r="E143" s="510">
        <f t="shared" si="10"/>
        <v>0.06</v>
      </c>
      <c r="F143" s="511">
        <f t="shared" si="11"/>
        <v>0</v>
      </c>
    </row>
    <row r="144" spans="1:6" ht="9.75" customHeight="1">
      <c r="A144" s="508" t="s">
        <v>438</v>
      </c>
      <c r="B144" s="508" t="s">
        <v>1541</v>
      </c>
      <c r="C144" s="509" t="s">
        <v>400</v>
      </c>
      <c r="D144" s="509">
        <f t="shared" si="9"/>
        <v>0</v>
      </c>
      <c r="E144" s="510">
        <f t="shared" si="10"/>
        <v>0.06</v>
      </c>
      <c r="F144" s="511">
        <f t="shared" si="11"/>
        <v>0</v>
      </c>
    </row>
    <row r="145" spans="1:6" ht="9.75" customHeight="1">
      <c r="A145" s="508" t="s">
        <v>436</v>
      </c>
      <c r="B145" s="508" t="s">
        <v>1544</v>
      </c>
      <c r="C145" s="509" t="s">
        <v>403</v>
      </c>
      <c r="D145" s="509">
        <f t="shared" si="9"/>
        <v>70</v>
      </c>
      <c r="E145" s="510">
        <f t="shared" si="10"/>
        <v>7.0499999999999993E-2</v>
      </c>
      <c r="F145" s="511">
        <f t="shared" si="11"/>
        <v>1.0499999999999995E-2</v>
      </c>
    </row>
    <row r="146" spans="1:6" ht="9.75" customHeight="1">
      <c r="A146" s="508" t="s">
        <v>434</v>
      </c>
      <c r="B146" s="508" t="s">
        <v>1544</v>
      </c>
      <c r="C146" s="509" t="s">
        <v>407</v>
      </c>
      <c r="D146" s="509">
        <f t="shared" si="9"/>
        <v>150</v>
      </c>
      <c r="E146" s="510">
        <f t="shared" si="10"/>
        <v>8.249999999999999E-2</v>
      </c>
      <c r="F146" s="511">
        <f t="shared" si="11"/>
        <v>2.2499999999999992E-2</v>
      </c>
    </row>
    <row r="147" spans="1:6" ht="9.75" customHeight="1">
      <c r="A147" s="508" t="s">
        <v>1535</v>
      </c>
      <c r="B147" s="508" t="s">
        <v>1542</v>
      </c>
      <c r="C147" s="509" t="s">
        <v>407</v>
      </c>
      <c r="D147" s="509">
        <f t="shared" si="9"/>
        <v>150</v>
      </c>
      <c r="E147" s="510">
        <f t="shared" si="10"/>
        <v>8.249999999999999E-2</v>
      </c>
      <c r="F147" s="511">
        <f t="shared" si="11"/>
        <v>2.2499999999999992E-2</v>
      </c>
    </row>
    <row r="148" spans="1:6" ht="9.75" customHeight="1">
      <c r="A148" s="508" t="s">
        <v>431</v>
      </c>
      <c r="B148" s="508" t="s">
        <v>1538</v>
      </c>
      <c r="C148" s="509" t="s">
        <v>409</v>
      </c>
      <c r="D148" s="509">
        <f t="shared" si="9"/>
        <v>200</v>
      </c>
      <c r="E148" s="510">
        <f t="shared" si="10"/>
        <v>0.09</v>
      </c>
      <c r="F148" s="511">
        <f t="shared" si="11"/>
        <v>0.03</v>
      </c>
    </row>
    <row r="149" spans="1:6" ht="9.75" customHeight="1">
      <c r="A149" s="508" t="s">
        <v>430</v>
      </c>
      <c r="B149" s="508" t="s">
        <v>1544</v>
      </c>
      <c r="C149" s="509" t="s">
        <v>411</v>
      </c>
      <c r="D149" s="509">
        <f t="shared" si="9"/>
        <v>275</v>
      </c>
      <c r="E149" s="510">
        <f t="shared" si="10"/>
        <v>0.10125000000000001</v>
      </c>
      <c r="F149" s="511">
        <f t="shared" si="11"/>
        <v>4.1250000000000009E-2</v>
      </c>
    </row>
    <row r="150" spans="1:6" ht="9.75" customHeight="1">
      <c r="A150" s="508" t="s">
        <v>428</v>
      </c>
      <c r="B150" s="508" t="s">
        <v>1537</v>
      </c>
      <c r="C150" s="509" t="s">
        <v>414</v>
      </c>
      <c r="D150" s="509">
        <f t="shared" si="9"/>
        <v>500</v>
      </c>
      <c r="E150" s="510">
        <f t="shared" si="10"/>
        <v>0.13500000000000001</v>
      </c>
      <c r="F150" s="511">
        <f t="shared" si="11"/>
        <v>7.5000000000000011E-2</v>
      </c>
    </row>
    <row r="151" spans="1:6" ht="9.75" customHeight="1">
      <c r="A151" s="508" t="s">
        <v>427</v>
      </c>
      <c r="B151" s="508" t="s">
        <v>1543</v>
      </c>
      <c r="C151" s="509" t="s">
        <v>402</v>
      </c>
      <c r="D151" s="509">
        <f t="shared" si="9"/>
        <v>50</v>
      </c>
      <c r="E151" s="510">
        <f t="shared" si="10"/>
        <v>6.7500000000000004E-2</v>
      </c>
      <c r="F151" s="511">
        <f t="shared" si="11"/>
        <v>7.5000000000000067E-3</v>
      </c>
    </row>
    <row r="152" spans="1:6" ht="9.75" customHeight="1">
      <c r="A152" s="508" t="s">
        <v>426</v>
      </c>
      <c r="B152" s="508" t="s">
        <v>1541</v>
      </c>
      <c r="C152" s="509" t="s">
        <v>400</v>
      </c>
      <c r="D152" s="509">
        <f t="shared" si="9"/>
        <v>0</v>
      </c>
      <c r="E152" s="510">
        <f t="shared" si="10"/>
        <v>0.06</v>
      </c>
      <c r="F152" s="511">
        <f t="shared" si="11"/>
        <v>0</v>
      </c>
    </row>
    <row r="153" spans="1:6" ht="9.75" customHeight="1">
      <c r="A153" s="508" t="s">
        <v>1536</v>
      </c>
      <c r="B153" s="508" t="s">
        <v>1545</v>
      </c>
      <c r="C153" s="509" t="s">
        <v>400</v>
      </c>
      <c r="D153" s="509">
        <f t="shared" si="9"/>
        <v>0</v>
      </c>
      <c r="E153" s="510">
        <f t="shared" si="10"/>
        <v>0.06</v>
      </c>
      <c r="F153" s="511">
        <f t="shared" si="11"/>
        <v>0</v>
      </c>
    </row>
    <row r="154" spans="1:6" ht="9.75" customHeight="1">
      <c r="A154" s="508" t="s">
        <v>424</v>
      </c>
      <c r="B154" s="508" t="s">
        <v>1539</v>
      </c>
      <c r="C154" s="509" t="s">
        <v>410</v>
      </c>
      <c r="D154" s="509">
        <f t="shared" si="9"/>
        <v>240</v>
      </c>
      <c r="E154" s="510">
        <f t="shared" si="10"/>
        <v>9.6000000000000002E-2</v>
      </c>
      <c r="F154" s="511">
        <f t="shared" si="11"/>
        <v>3.6000000000000004E-2</v>
      </c>
    </row>
    <row r="155" spans="1:6" ht="9.75" customHeight="1">
      <c r="A155" s="508" t="s">
        <v>423</v>
      </c>
      <c r="B155" s="508" t="s">
        <v>1539</v>
      </c>
      <c r="C155" s="509" t="s">
        <v>413</v>
      </c>
      <c r="D155" s="509">
        <f t="shared" si="9"/>
        <v>400</v>
      </c>
      <c r="E155" s="510">
        <f t="shared" si="10"/>
        <v>0.12</v>
      </c>
      <c r="F155" s="511">
        <f t="shared" si="11"/>
        <v>0.06</v>
      </c>
    </row>
    <row r="156" spans="1:6" ht="9.75" customHeight="1">
      <c r="A156" s="508" t="s">
        <v>422</v>
      </c>
      <c r="B156" s="508" t="s">
        <v>1544</v>
      </c>
      <c r="C156" s="509" t="s">
        <v>413</v>
      </c>
      <c r="D156" s="509">
        <f t="shared" si="9"/>
        <v>400</v>
      </c>
      <c r="E156" s="510">
        <f t="shared" si="10"/>
        <v>0.12</v>
      </c>
      <c r="F156" s="511">
        <f t="shared" si="11"/>
        <v>0.06</v>
      </c>
    </row>
    <row r="157" spans="1:6" ht="9.75" customHeight="1">
      <c r="A157" s="496"/>
      <c r="B157" s="496"/>
      <c r="C157" s="496"/>
      <c r="D157" s="496"/>
    </row>
    <row r="158" spans="1:6">
      <c r="A158" s="496"/>
      <c r="B158" s="496"/>
      <c r="C158" s="496"/>
      <c r="D158" s="496"/>
    </row>
    <row r="159" spans="1:6">
      <c r="A159" s="496"/>
      <c r="B159" s="496"/>
      <c r="C159" s="496"/>
      <c r="D159" s="496"/>
    </row>
    <row r="160" spans="1:6">
      <c r="A160" s="496"/>
      <c r="B160" s="496"/>
      <c r="C160" s="496"/>
      <c r="D160" s="496"/>
    </row>
    <row r="161" spans="1:4">
      <c r="A161" s="496"/>
      <c r="B161" s="496"/>
      <c r="C161" s="496"/>
      <c r="D161" s="496"/>
    </row>
  </sheetData>
  <mergeCells count="1">
    <mergeCell ref="A1:C1"/>
  </mergeCells>
  <phoneticPr fontId="139" type="noConversion"/>
  <pageMargins left="0" right="0" top="0.57999999999999996" bottom="0.41" header="0.51181102362204722" footer="0.51181102362204722"/>
  <pageSetup scale="4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F73"/>
  <sheetViews>
    <sheetView workbookViewId="0">
      <selection activeCell="H61" sqref="H61"/>
    </sheetView>
  </sheetViews>
  <sheetFormatPr defaultColWidth="10.85546875" defaultRowHeight="15.75"/>
  <cols>
    <col min="1" max="1" width="43.85546875" style="1278" bestFit="1" customWidth="1"/>
    <col min="2" max="16384" width="10.85546875" style="1278"/>
  </cols>
  <sheetData>
    <row r="1" spans="1:6" ht="23.25">
      <c r="A1" s="1385" t="s">
        <v>1026</v>
      </c>
      <c r="B1" s="1386"/>
      <c r="C1" s="1386"/>
      <c r="D1" s="1295"/>
      <c r="E1" s="1295"/>
      <c r="F1" s="1295"/>
    </row>
    <row r="2" spans="1:6">
      <c r="A2" s="1295"/>
      <c r="B2" s="1295"/>
      <c r="C2" s="1295"/>
      <c r="D2" s="1295"/>
      <c r="E2" s="1295"/>
      <c r="F2" s="1295"/>
    </row>
    <row r="3" spans="1:6">
      <c r="A3" s="1295"/>
      <c r="B3" s="1295"/>
      <c r="C3" s="1295"/>
      <c r="D3" s="1295"/>
      <c r="E3" s="1295"/>
      <c r="F3" s="1295"/>
    </row>
    <row r="4" spans="1:6">
      <c r="A4" s="1296" t="s">
        <v>0</v>
      </c>
      <c r="B4" s="1297" t="s">
        <v>1965</v>
      </c>
      <c r="C4" s="1295"/>
      <c r="D4" s="1295"/>
      <c r="E4" s="1295"/>
      <c r="F4" s="1295"/>
    </row>
    <row r="5" spans="1:6">
      <c r="A5" s="1295"/>
      <c r="B5" s="1295"/>
      <c r="C5" s="1295"/>
      <c r="D5" s="1295"/>
      <c r="E5" s="1295"/>
      <c r="F5" s="1295"/>
    </row>
    <row r="6" spans="1:6">
      <c r="A6" s="1298" t="s">
        <v>1966</v>
      </c>
      <c r="B6" s="1299"/>
      <c r="C6" s="1299"/>
      <c r="D6" s="1299"/>
      <c r="E6" s="1299"/>
      <c r="F6" s="1300"/>
    </row>
    <row r="7" spans="1:6" ht="16.5" thickBot="1">
      <c r="A7" s="1301" t="s">
        <v>1967</v>
      </c>
      <c r="B7" s="1301" t="s">
        <v>920</v>
      </c>
      <c r="C7" s="1301" t="s">
        <v>921</v>
      </c>
      <c r="D7" s="1301" t="s">
        <v>922</v>
      </c>
      <c r="E7" s="1301" t="s">
        <v>923</v>
      </c>
      <c r="F7" s="1301" t="s">
        <v>1134</v>
      </c>
    </row>
    <row r="8" spans="1:6">
      <c r="A8" s="1302" t="s">
        <v>1968</v>
      </c>
      <c r="B8" s="1291" t="s">
        <v>1969</v>
      </c>
      <c r="C8" s="1291" t="s">
        <v>1970</v>
      </c>
      <c r="D8" s="1291" t="s">
        <v>1971</v>
      </c>
      <c r="E8" s="1291" t="s">
        <v>1972</v>
      </c>
      <c r="F8" s="1303" t="s">
        <v>1973</v>
      </c>
    </row>
    <row r="9" spans="1:6">
      <c r="A9" s="1304" t="s">
        <v>1974</v>
      </c>
      <c r="B9" s="1294" t="s">
        <v>1975</v>
      </c>
      <c r="C9" s="1294" t="s">
        <v>1976</v>
      </c>
      <c r="D9" s="1294" t="s">
        <v>1782</v>
      </c>
      <c r="E9" s="1294" t="s">
        <v>1977</v>
      </c>
      <c r="F9" s="1305" t="s">
        <v>1978</v>
      </c>
    </row>
    <row r="10" spans="1:6">
      <c r="A10" s="1304" t="s">
        <v>1979</v>
      </c>
      <c r="B10" s="1294" t="s">
        <v>1504</v>
      </c>
      <c r="C10" s="1294" t="s">
        <v>1504</v>
      </c>
      <c r="D10" s="1294" t="s">
        <v>1504</v>
      </c>
      <c r="E10" s="1294" t="s">
        <v>1504</v>
      </c>
      <c r="F10" s="1305" t="s">
        <v>1504</v>
      </c>
    </row>
    <row r="11" spans="1:6">
      <c r="A11" s="1304" t="s">
        <v>1980</v>
      </c>
      <c r="B11" s="1294" t="s">
        <v>1981</v>
      </c>
      <c r="C11" s="1294" t="s">
        <v>1982</v>
      </c>
      <c r="D11" s="1294" t="s">
        <v>1981</v>
      </c>
      <c r="E11" s="1294" t="s">
        <v>1982</v>
      </c>
      <c r="F11" s="1305" t="s">
        <v>1983</v>
      </c>
    </row>
    <row r="12" spans="1:6">
      <c r="A12" s="1304" t="s">
        <v>1984</v>
      </c>
      <c r="B12" s="1294" t="s">
        <v>1985</v>
      </c>
      <c r="C12" s="1294" t="s">
        <v>1986</v>
      </c>
      <c r="D12" s="1294" t="s">
        <v>1985</v>
      </c>
      <c r="E12" s="1294" t="s">
        <v>1986</v>
      </c>
      <c r="F12" s="1305" t="s">
        <v>1987</v>
      </c>
    </row>
    <row r="13" spans="1:6">
      <c r="A13" s="1304" t="s">
        <v>1988</v>
      </c>
      <c r="B13" s="1294" t="s">
        <v>1989</v>
      </c>
      <c r="C13" s="1294" t="s">
        <v>1990</v>
      </c>
      <c r="D13" s="1294" t="s">
        <v>1989</v>
      </c>
      <c r="E13" s="1294" t="s">
        <v>1991</v>
      </c>
      <c r="F13" s="1305" t="s">
        <v>1992</v>
      </c>
    </row>
    <row r="14" spans="1:6">
      <c r="A14" s="1304" t="s">
        <v>1993</v>
      </c>
      <c r="B14" s="1294" t="s">
        <v>1504</v>
      </c>
      <c r="C14" s="1294" t="s">
        <v>1504</v>
      </c>
      <c r="D14" s="1294" t="s">
        <v>1504</v>
      </c>
      <c r="E14" s="1294" t="s">
        <v>1504</v>
      </c>
      <c r="F14" s="1305" t="s">
        <v>1504</v>
      </c>
    </row>
    <row r="15" spans="1:6">
      <c r="A15" s="1304" t="s">
        <v>1994</v>
      </c>
      <c r="B15" s="1294" t="s">
        <v>1504</v>
      </c>
      <c r="C15" s="1294" t="s">
        <v>1504</v>
      </c>
      <c r="D15" s="1294" t="s">
        <v>1504</v>
      </c>
      <c r="E15" s="1294" t="s">
        <v>1504</v>
      </c>
      <c r="F15" s="1305" t="s">
        <v>1504</v>
      </c>
    </row>
    <row r="16" spans="1:6">
      <c r="A16" s="1304" t="s">
        <v>1995</v>
      </c>
      <c r="B16" s="1294" t="s">
        <v>1996</v>
      </c>
      <c r="C16" s="1294" t="s">
        <v>1997</v>
      </c>
      <c r="D16" s="1294" t="s">
        <v>1996</v>
      </c>
      <c r="E16" s="1294" t="s">
        <v>1998</v>
      </c>
      <c r="F16" s="1305" t="s">
        <v>1999</v>
      </c>
    </row>
    <row r="17" spans="1:6">
      <c r="A17" s="1304" t="s">
        <v>2000</v>
      </c>
      <c r="B17" s="1294" t="s">
        <v>1504</v>
      </c>
      <c r="C17" s="1294" t="s">
        <v>1504</v>
      </c>
      <c r="D17" s="1294" t="s">
        <v>1504</v>
      </c>
      <c r="E17" s="1294" t="s">
        <v>1504</v>
      </c>
      <c r="F17" s="1305" t="s">
        <v>1504</v>
      </c>
    </row>
    <row r="18" spans="1:6">
      <c r="A18" s="1304" t="s">
        <v>2001</v>
      </c>
      <c r="B18" s="1294" t="s">
        <v>1504</v>
      </c>
      <c r="C18" s="1294" t="s">
        <v>1504</v>
      </c>
      <c r="D18" s="1294" t="s">
        <v>1504</v>
      </c>
      <c r="E18" s="1294" t="s">
        <v>1504</v>
      </c>
      <c r="F18" s="1305" t="s">
        <v>1504</v>
      </c>
    </row>
    <row r="19" spans="1:6">
      <c r="A19" s="1304" t="s">
        <v>2002</v>
      </c>
      <c r="B19" s="1294" t="s">
        <v>2003</v>
      </c>
      <c r="C19" s="1294" t="s">
        <v>2004</v>
      </c>
      <c r="D19" s="1294" t="s">
        <v>2003</v>
      </c>
      <c r="E19" s="1294" t="s">
        <v>2005</v>
      </c>
      <c r="F19" s="1305" t="s">
        <v>2006</v>
      </c>
    </row>
    <row r="20" spans="1:6">
      <c r="A20" s="1304" t="s">
        <v>2007</v>
      </c>
      <c r="B20" s="1294" t="s">
        <v>1504</v>
      </c>
      <c r="C20" s="1294" t="s">
        <v>1504</v>
      </c>
      <c r="D20" s="1294" t="s">
        <v>1504</v>
      </c>
      <c r="E20" s="1294" t="s">
        <v>1504</v>
      </c>
      <c r="F20" s="1305" t="s">
        <v>1504</v>
      </c>
    </row>
    <row r="21" spans="1:6">
      <c r="A21" s="1304" t="s">
        <v>2008</v>
      </c>
      <c r="B21" s="1294" t="s">
        <v>1504</v>
      </c>
      <c r="C21" s="1294" t="s">
        <v>1504</v>
      </c>
      <c r="D21" s="1294" t="s">
        <v>1504</v>
      </c>
      <c r="E21" s="1294" t="s">
        <v>1504</v>
      </c>
      <c r="F21" s="1305" t="s">
        <v>1504</v>
      </c>
    </row>
    <row r="22" spans="1:6" ht="16.5" thickBot="1">
      <c r="A22" s="1306" t="s">
        <v>2009</v>
      </c>
      <c r="B22" s="1307" t="s">
        <v>2010</v>
      </c>
      <c r="C22" s="1307" t="s">
        <v>2011</v>
      </c>
      <c r="D22" s="1307" t="s">
        <v>2010</v>
      </c>
      <c r="E22" s="1307" t="s">
        <v>1915</v>
      </c>
      <c r="F22" s="1308" t="s">
        <v>1996</v>
      </c>
    </row>
    <row r="23" spans="1:6">
      <c r="A23" s="1295"/>
      <c r="B23" s="1295"/>
      <c r="C23" s="1295"/>
      <c r="D23" s="1295"/>
      <c r="E23" s="1295"/>
      <c r="F23" s="1295"/>
    </row>
    <row r="24" spans="1:6">
      <c r="A24" s="1296" t="s">
        <v>14</v>
      </c>
      <c r="B24" s="1297" t="s">
        <v>13</v>
      </c>
      <c r="C24" s="1295"/>
      <c r="D24" s="1295"/>
      <c r="E24" s="1295"/>
      <c r="F24" s="1295"/>
    </row>
    <row r="26" spans="1:6">
      <c r="A26" s="1298" t="s">
        <v>7</v>
      </c>
      <c r="B26" s="1299"/>
      <c r="C26" s="1299"/>
      <c r="D26" s="1299"/>
      <c r="E26" s="1299"/>
      <c r="F26" s="1300"/>
    </row>
    <row r="27" spans="1:6" ht="16.5" thickBot="1">
      <c r="A27" s="1301" t="s">
        <v>8</v>
      </c>
      <c r="B27" s="1301" t="s">
        <v>1</v>
      </c>
      <c r="C27" s="1301" t="s">
        <v>9</v>
      </c>
      <c r="D27" s="1301" t="s">
        <v>10</v>
      </c>
      <c r="E27" s="1301" t="s">
        <v>11</v>
      </c>
      <c r="F27" s="1301" t="s">
        <v>12</v>
      </c>
    </row>
    <row r="28" spans="1:6" ht="31.5">
      <c r="A28" s="1302" t="s">
        <v>2012</v>
      </c>
      <c r="B28" s="1290" t="s">
        <v>425</v>
      </c>
      <c r="C28" s="1291" t="s">
        <v>2013</v>
      </c>
      <c r="D28" s="1291"/>
      <c r="E28" s="1291" t="s">
        <v>2014</v>
      </c>
      <c r="F28" s="1309" t="s">
        <v>2015</v>
      </c>
    </row>
    <row r="29" spans="1:6">
      <c r="A29" s="1304" t="s">
        <v>2016</v>
      </c>
      <c r="B29" s="1293" t="s">
        <v>553</v>
      </c>
      <c r="C29" s="1294" t="s">
        <v>1751</v>
      </c>
      <c r="D29" s="1294"/>
      <c r="E29" s="1294" t="s">
        <v>2017</v>
      </c>
      <c r="F29" s="1310">
        <v>42129</v>
      </c>
    </row>
    <row r="30" spans="1:6" ht="31.5">
      <c r="A30" s="1304" t="s">
        <v>2018</v>
      </c>
      <c r="B30" s="1293" t="s">
        <v>537</v>
      </c>
      <c r="C30" s="1294" t="s">
        <v>2019</v>
      </c>
      <c r="D30" s="1294"/>
      <c r="E30" s="1294" t="s">
        <v>2020</v>
      </c>
      <c r="F30" s="1311" t="s">
        <v>2021</v>
      </c>
    </row>
    <row r="31" spans="1:6" ht="31.5">
      <c r="A31" s="1304" t="s">
        <v>2022</v>
      </c>
      <c r="B31" s="1293" t="s">
        <v>4</v>
      </c>
      <c r="C31" s="1294" t="s">
        <v>2023</v>
      </c>
      <c r="D31" s="1294"/>
      <c r="E31" s="1294" t="s">
        <v>2024</v>
      </c>
      <c r="F31" s="1310">
        <v>42314</v>
      </c>
    </row>
    <row r="32" spans="1:6" ht="31.5">
      <c r="A32" s="1304" t="s">
        <v>2025</v>
      </c>
      <c r="B32" s="1293" t="s">
        <v>543</v>
      </c>
      <c r="C32" s="1294" t="s">
        <v>2026</v>
      </c>
      <c r="D32" s="1294"/>
      <c r="E32" s="1294" t="s">
        <v>2027</v>
      </c>
      <c r="F32" s="1311" t="s">
        <v>2028</v>
      </c>
    </row>
    <row r="33" spans="1:6" ht="31.5">
      <c r="A33" s="1304" t="s">
        <v>2029</v>
      </c>
      <c r="B33" s="1293" t="s">
        <v>3</v>
      </c>
      <c r="C33" s="1294" t="s">
        <v>2013</v>
      </c>
      <c r="D33" s="1294"/>
      <c r="E33" s="1294" t="s">
        <v>2030</v>
      </c>
      <c r="F33" s="1310">
        <v>39936</v>
      </c>
    </row>
    <row r="34" spans="1:6" ht="31.5">
      <c r="A34" s="1304" t="s">
        <v>2031</v>
      </c>
      <c r="B34" s="1293" t="s">
        <v>538</v>
      </c>
      <c r="C34" s="1294" t="s">
        <v>2013</v>
      </c>
      <c r="D34" s="1294"/>
      <c r="E34" s="1294" t="s">
        <v>2032</v>
      </c>
      <c r="F34" s="1311" t="s">
        <v>2033</v>
      </c>
    </row>
    <row r="35" spans="1:6" ht="31.5">
      <c r="A35" s="1304" t="s">
        <v>2034</v>
      </c>
      <c r="B35" s="1293" t="s">
        <v>2</v>
      </c>
      <c r="C35" s="1294" t="s">
        <v>2035</v>
      </c>
      <c r="D35" s="1294"/>
      <c r="E35" s="1294" t="s">
        <v>2036</v>
      </c>
      <c r="F35" s="1311" t="s">
        <v>2037</v>
      </c>
    </row>
    <row r="36" spans="1:6" ht="31.5">
      <c r="A36" s="1304" t="s">
        <v>2038</v>
      </c>
      <c r="B36" s="1293" t="s">
        <v>527</v>
      </c>
      <c r="C36" s="1294" t="s">
        <v>2039</v>
      </c>
      <c r="D36" s="1294"/>
      <c r="E36" s="1294" t="s">
        <v>2014</v>
      </c>
      <c r="F36" s="1310">
        <v>40919</v>
      </c>
    </row>
    <row r="37" spans="1:6" ht="31.5">
      <c r="A37" s="1304" t="s">
        <v>2040</v>
      </c>
      <c r="B37" s="1293" t="s">
        <v>526</v>
      </c>
      <c r="C37" s="1294" t="s">
        <v>2039</v>
      </c>
      <c r="D37" s="1294"/>
      <c r="E37" s="1294" t="s">
        <v>2041</v>
      </c>
      <c r="F37" s="1311" t="s">
        <v>2042</v>
      </c>
    </row>
    <row r="38" spans="1:6">
      <c r="A38" s="1304" t="s">
        <v>2043</v>
      </c>
      <c r="B38" s="1293" t="s">
        <v>6</v>
      </c>
      <c r="C38" s="1294" t="s">
        <v>2039</v>
      </c>
      <c r="D38" s="1294"/>
      <c r="E38" s="1294" t="s">
        <v>2044</v>
      </c>
      <c r="F38" s="1310">
        <v>41738</v>
      </c>
    </row>
    <row r="39" spans="1:6" ht="31.5">
      <c r="A39" s="1304" t="s">
        <v>2045</v>
      </c>
      <c r="B39" s="1293" t="s">
        <v>505</v>
      </c>
      <c r="C39" s="1294" t="s">
        <v>2046</v>
      </c>
      <c r="D39" s="1294"/>
      <c r="E39" s="1294" t="s">
        <v>2023</v>
      </c>
      <c r="F39" s="1311" t="s">
        <v>2047</v>
      </c>
    </row>
    <row r="40" spans="1:6" ht="31.5">
      <c r="A40" s="1304" t="s">
        <v>2048</v>
      </c>
      <c r="B40" s="1293" t="s">
        <v>503</v>
      </c>
      <c r="C40" s="1294" t="s">
        <v>2049</v>
      </c>
      <c r="D40" s="1294"/>
      <c r="E40" s="1294" t="s">
        <v>2050</v>
      </c>
      <c r="F40" s="1311" t="s">
        <v>2051</v>
      </c>
    </row>
    <row r="41" spans="1:6" ht="31.5">
      <c r="A41" s="1304" t="s">
        <v>2052</v>
      </c>
      <c r="B41" s="1293" t="s">
        <v>502</v>
      </c>
      <c r="C41" s="1294" t="s">
        <v>2053</v>
      </c>
      <c r="D41" s="1294"/>
      <c r="E41" s="1294" t="s">
        <v>2054</v>
      </c>
      <c r="F41" s="1311" t="s">
        <v>2055</v>
      </c>
    </row>
    <row r="42" spans="1:6" ht="31.5">
      <c r="A42" s="1304" t="s">
        <v>2056</v>
      </c>
      <c r="B42" s="1293" t="s">
        <v>498</v>
      </c>
      <c r="C42" s="1294" t="s">
        <v>2057</v>
      </c>
      <c r="D42" s="1294"/>
      <c r="E42" s="1294" t="s">
        <v>2014</v>
      </c>
      <c r="F42" s="1311" t="s">
        <v>2058</v>
      </c>
    </row>
    <row r="43" spans="1:6">
      <c r="A43" s="1304" t="s">
        <v>2059</v>
      </c>
      <c r="B43" s="1293" t="s">
        <v>495</v>
      </c>
      <c r="C43" s="1294" t="s">
        <v>2057</v>
      </c>
      <c r="D43" s="1294"/>
      <c r="E43" s="1294" t="s">
        <v>2057</v>
      </c>
      <c r="F43" s="1310">
        <v>40308</v>
      </c>
    </row>
    <row r="44" spans="1:6" ht="31.5">
      <c r="A44" s="1304" t="s">
        <v>2060</v>
      </c>
      <c r="B44" s="1293" t="s">
        <v>477</v>
      </c>
      <c r="C44" s="1294" t="s">
        <v>2020</v>
      </c>
      <c r="D44" s="1294"/>
      <c r="E44" s="1294" t="s">
        <v>2061</v>
      </c>
      <c r="F44" s="1311" t="s">
        <v>2021</v>
      </c>
    </row>
    <row r="45" spans="1:6" ht="31.5">
      <c r="A45" s="1304" t="s">
        <v>2062</v>
      </c>
      <c r="B45" s="1293" t="s">
        <v>469</v>
      </c>
      <c r="C45" s="1294" t="s">
        <v>2063</v>
      </c>
      <c r="D45" s="1294"/>
      <c r="E45" s="1294" t="s">
        <v>2064</v>
      </c>
      <c r="F45" s="1310">
        <v>42289</v>
      </c>
    </row>
    <row r="46" spans="1:6" ht="31.5">
      <c r="A46" s="1304" t="s">
        <v>2065</v>
      </c>
      <c r="B46" s="1293" t="s">
        <v>465</v>
      </c>
      <c r="C46" s="1294" t="s">
        <v>2032</v>
      </c>
      <c r="D46" s="1294"/>
      <c r="E46" s="1294" t="s">
        <v>2030</v>
      </c>
      <c r="F46" s="1311" t="s">
        <v>2066</v>
      </c>
    </row>
    <row r="47" spans="1:6">
      <c r="A47" s="1304" t="s">
        <v>2067</v>
      </c>
      <c r="B47" s="1293" t="s">
        <v>457</v>
      </c>
      <c r="C47" s="1294" t="s">
        <v>2023</v>
      </c>
      <c r="D47" s="1294"/>
      <c r="E47" s="1294" t="s">
        <v>1751</v>
      </c>
      <c r="F47" s="1310">
        <v>42097</v>
      </c>
    </row>
    <row r="48" spans="1:6" ht="31.5">
      <c r="A48" s="1304" t="s">
        <v>2068</v>
      </c>
      <c r="B48" s="1293" t="s">
        <v>453</v>
      </c>
      <c r="C48" s="1294" t="s">
        <v>2069</v>
      </c>
      <c r="D48" s="1294"/>
      <c r="E48" s="1294" t="s">
        <v>2070</v>
      </c>
      <c r="F48" s="1311" t="s">
        <v>2071</v>
      </c>
    </row>
    <row r="49" spans="1:6" ht="31.5">
      <c r="A49" s="1304" t="s">
        <v>2072</v>
      </c>
      <c r="B49" s="1293" t="s">
        <v>452</v>
      </c>
      <c r="C49" s="1294" t="s">
        <v>1751</v>
      </c>
      <c r="D49" s="1294"/>
      <c r="E49" s="1294" t="s">
        <v>2063</v>
      </c>
      <c r="F49" s="1311" t="s">
        <v>2073</v>
      </c>
    </row>
    <row r="50" spans="1:6" ht="31.5">
      <c r="A50" s="1304" t="s">
        <v>2074</v>
      </c>
      <c r="B50" s="1293" t="s">
        <v>444</v>
      </c>
      <c r="C50" s="1294" t="s">
        <v>2075</v>
      </c>
      <c r="D50" s="1294"/>
      <c r="E50" s="1294" t="s">
        <v>2076</v>
      </c>
      <c r="F50" s="1311" t="s">
        <v>2077</v>
      </c>
    </row>
    <row r="51" spans="1:6">
      <c r="A51" s="1304" t="s">
        <v>2078</v>
      </c>
      <c r="B51" s="1293" t="s">
        <v>439</v>
      </c>
      <c r="C51" s="1294" t="s">
        <v>2079</v>
      </c>
      <c r="D51" s="1294"/>
      <c r="E51" s="1294" t="s">
        <v>2080</v>
      </c>
      <c r="F51" s="1310">
        <v>42042</v>
      </c>
    </row>
    <row r="52" spans="1:6" ht="31.5">
      <c r="A52" s="1304" t="s">
        <v>2081</v>
      </c>
      <c r="B52" s="1293" t="s">
        <v>438</v>
      </c>
      <c r="C52" s="1294" t="s">
        <v>2082</v>
      </c>
      <c r="D52" s="1294"/>
      <c r="E52" s="1294" t="s">
        <v>2083</v>
      </c>
      <c r="F52" s="1311" t="s">
        <v>2084</v>
      </c>
    </row>
    <row r="53" spans="1:6" ht="32.25" thickBot="1">
      <c r="A53" s="1306" t="s">
        <v>2085</v>
      </c>
      <c r="B53" s="1312" t="s">
        <v>430</v>
      </c>
      <c r="C53" s="1307" t="s">
        <v>2053</v>
      </c>
      <c r="D53" s="1307"/>
      <c r="E53" s="1307" t="s">
        <v>2054</v>
      </c>
      <c r="F53" s="1313" t="s">
        <v>2086</v>
      </c>
    </row>
    <row r="55" spans="1:6">
      <c r="A55" s="1314" t="s">
        <v>1491</v>
      </c>
      <c r="B55" s="1315" t="s">
        <v>2087</v>
      </c>
      <c r="C55" s="1316"/>
      <c r="D55" s="1295"/>
      <c r="E55" s="1316"/>
    </row>
    <row r="57" spans="1:6">
      <c r="A57" s="1298" t="s">
        <v>2088</v>
      </c>
      <c r="B57" s="1299"/>
      <c r="C57" s="1299"/>
      <c r="D57" s="1299"/>
      <c r="E57" s="1299"/>
      <c r="F57" s="1300"/>
    </row>
    <row r="58" spans="1:6" ht="16.5" thickBot="1">
      <c r="A58" s="1301" t="s">
        <v>2089</v>
      </c>
      <c r="B58" s="1301" t="s">
        <v>920</v>
      </c>
      <c r="C58" s="1301" t="s">
        <v>921</v>
      </c>
      <c r="D58" s="1301" t="s">
        <v>1489</v>
      </c>
      <c r="E58" s="1301" t="s">
        <v>1490</v>
      </c>
      <c r="F58" s="1301" t="s">
        <v>1134</v>
      </c>
    </row>
    <row r="59" spans="1:6">
      <c r="A59" s="1302" t="s">
        <v>2090</v>
      </c>
      <c r="B59" s="1291" t="s">
        <v>2091</v>
      </c>
      <c r="C59" s="1291" t="s">
        <v>2092</v>
      </c>
      <c r="D59" s="1291" t="s">
        <v>2092</v>
      </c>
      <c r="E59" s="1291" t="s">
        <v>2093</v>
      </c>
      <c r="F59" s="1303" t="s">
        <v>2094</v>
      </c>
    </row>
    <row r="60" spans="1:6">
      <c r="A60" s="1304" t="s">
        <v>2095</v>
      </c>
      <c r="B60" s="1294" t="s">
        <v>2096</v>
      </c>
      <c r="C60" s="1294" t="s">
        <v>2097</v>
      </c>
      <c r="D60" s="1294" t="s">
        <v>2098</v>
      </c>
      <c r="E60" s="1294" t="s">
        <v>2094</v>
      </c>
      <c r="F60" s="1305" t="s">
        <v>2099</v>
      </c>
    </row>
    <row r="61" spans="1:6">
      <c r="A61" s="1304" t="s">
        <v>2100</v>
      </c>
      <c r="B61" s="1294" t="s">
        <v>1504</v>
      </c>
      <c r="C61" s="1294" t="s">
        <v>1504</v>
      </c>
      <c r="D61" s="1294" t="s">
        <v>1504</v>
      </c>
      <c r="E61" s="1294" t="s">
        <v>1504</v>
      </c>
      <c r="F61" s="1305" t="s">
        <v>1504</v>
      </c>
    </row>
    <row r="62" spans="1:6">
      <c r="A62" s="1304" t="s">
        <v>2101</v>
      </c>
      <c r="B62" s="1294" t="s">
        <v>2102</v>
      </c>
      <c r="C62" s="1294" t="s">
        <v>2103</v>
      </c>
      <c r="D62" s="1294" t="s">
        <v>2103</v>
      </c>
      <c r="E62" s="1294" t="s">
        <v>2104</v>
      </c>
      <c r="F62" s="1305" t="s">
        <v>1760</v>
      </c>
    </row>
    <row r="63" spans="1:6">
      <c r="A63" s="1304" t="s">
        <v>2105</v>
      </c>
      <c r="B63" s="1294" t="s">
        <v>2106</v>
      </c>
      <c r="C63" s="1294" t="s">
        <v>1755</v>
      </c>
      <c r="D63" s="1294" t="s">
        <v>2107</v>
      </c>
      <c r="E63" s="1294" t="s">
        <v>2108</v>
      </c>
      <c r="F63" s="1305" t="s">
        <v>2109</v>
      </c>
    </row>
    <row r="64" spans="1:6">
      <c r="A64" s="1304" t="s">
        <v>2110</v>
      </c>
      <c r="B64" s="1294" t="s">
        <v>2111</v>
      </c>
      <c r="C64" s="1294" t="s">
        <v>2112</v>
      </c>
      <c r="D64" s="1294" t="s">
        <v>2112</v>
      </c>
      <c r="E64" s="1294" t="s">
        <v>2113</v>
      </c>
      <c r="F64" s="1305" t="s">
        <v>2114</v>
      </c>
    </row>
    <row r="65" spans="1:6">
      <c r="A65" s="1304" t="s">
        <v>2115</v>
      </c>
      <c r="B65" s="1294" t="s">
        <v>1504</v>
      </c>
      <c r="C65" s="1294" t="s">
        <v>1504</v>
      </c>
      <c r="D65" s="1294" t="s">
        <v>1504</v>
      </c>
      <c r="E65" s="1294" t="s">
        <v>1504</v>
      </c>
      <c r="F65" s="1305" t="s">
        <v>1504</v>
      </c>
    </row>
    <row r="66" spans="1:6">
      <c r="A66" s="1304" t="s">
        <v>2116</v>
      </c>
      <c r="B66" s="1294" t="s">
        <v>1504</v>
      </c>
      <c r="C66" s="1294" t="s">
        <v>1504</v>
      </c>
      <c r="D66" s="1294" t="s">
        <v>1504</v>
      </c>
      <c r="E66" s="1294" t="s">
        <v>1504</v>
      </c>
      <c r="F66" s="1305" t="s">
        <v>1504</v>
      </c>
    </row>
    <row r="67" spans="1:6">
      <c r="A67" s="1304" t="s">
        <v>2117</v>
      </c>
      <c r="B67" s="1294" t="s">
        <v>2118</v>
      </c>
      <c r="C67" s="1294" t="s">
        <v>2119</v>
      </c>
      <c r="D67" s="1294" t="s">
        <v>2119</v>
      </c>
      <c r="E67" s="1294" t="s">
        <v>1939</v>
      </c>
      <c r="F67" s="1305" t="s">
        <v>2120</v>
      </c>
    </row>
    <row r="68" spans="1:6">
      <c r="A68" s="1304" t="s">
        <v>2121</v>
      </c>
      <c r="B68" s="1294" t="s">
        <v>1504</v>
      </c>
      <c r="C68" s="1294" t="s">
        <v>1504</v>
      </c>
      <c r="D68" s="1294" t="s">
        <v>1504</v>
      </c>
      <c r="E68" s="1294" t="s">
        <v>1504</v>
      </c>
      <c r="F68" s="1305" t="s">
        <v>1504</v>
      </c>
    </row>
    <row r="69" spans="1:6">
      <c r="A69" s="1304" t="s">
        <v>2122</v>
      </c>
      <c r="B69" s="1294" t="s">
        <v>1504</v>
      </c>
      <c r="C69" s="1294" t="s">
        <v>1504</v>
      </c>
      <c r="D69" s="1294" t="s">
        <v>1504</v>
      </c>
      <c r="E69" s="1294" t="s">
        <v>1504</v>
      </c>
      <c r="F69" s="1305" t="s">
        <v>1504</v>
      </c>
    </row>
    <row r="70" spans="1:6">
      <c r="A70" s="1304" t="s">
        <v>2123</v>
      </c>
      <c r="B70" s="1294" t="s">
        <v>1504</v>
      </c>
      <c r="C70" s="1294" t="s">
        <v>1504</v>
      </c>
      <c r="D70" s="1294" t="s">
        <v>1504</v>
      </c>
      <c r="E70" s="1294" t="s">
        <v>1504</v>
      </c>
      <c r="F70" s="1305" t="s">
        <v>1504</v>
      </c>
    </row>
    <row r="71" spans="1:6">
      <c r="A71" s="1304" t="s">
        <v>2124</v>
      </c>
      <c r="B71" s="1294" t="s">
        <v>1504</v>
      </c>
      <c r="C71" s="1294" t="s">
        <v>1504</v>
      </c>
      <c r="D71" s="1294" t="s">
        <v>1504</v>
      </c>
      <c r="E71" s="1294" t="s">
        <v>1504</v>
      </c>
      <c r="F71" s="1305" t="s">
        <v>1504</v>
      </c>
    </row>
    <row r="72" spans="1:6">
      <c r="A72" s="1304" t="s">
        <v>2125</v>
      </c>
      <c r="B72" s="1294" t="s">
        <v>1504</v>
      </c>
      <c r="C72" s="1294" t="s">
        <v>1504</v>
      </c>
      <c r="D72" s="1294" t="s">
        <v>1504</v>
      </c>
      <c r="E72" s="1294" t="s">
        <v>1504</v>
      </c>
      <c r="F72" s="1305" t="s">
        <v>1504</v>
      </c>
    </row>
    <row r="73" spans="1:6" ht="16.5" thickBot="1">
      <c r="A73" s="1306" t="s">
        <v>2126</v>
      </c>
      <c r="B73" s="1307" t="s">
        <v>2127</v>
      </c>
      <c r="C73" s="1307" t="s">
        <v>2128</v>
      </c>
      <c r="D73" s="1307" t="s">
        <v>2128</v>
      </c>
      <c r="E73" s="1307" t="s">
        <v>2129</v>
      </c>
      <c r="F73" s="1308" t="s">
        <v>2130</v>
      </c>
    </row>
  </sheetData>
  <mergeCells count="1">
    <mergeCell ref="A1:C1"/>
  </mergeCells>
  <hyperlinks>
    <hyperlink ref="A28" r:id="rId1" tooltip="United States FED Federal Funds Rate - American central bank’s interest rate" xr:uid="{00000000-0004-0000-1600-000000000000}"/>
    <hyperlink ref="A29" r:id="rId2" tooltip="RBA Official Cash Rate - Australian central bank’s interest rate" xr:uid="{00000000-0004-0000-1600-000001000000}"/>
    <hyperlink ref="A30" r:id="rId3" tooltip="MPR - Monetary Policy Rate - interest rate central bank of Chile" xr:uid="{00000000-0004-0000-1600-000002000000}"/>
    <hyperlink ref="A31" r:id="rId4" tooltip="Bank of Korea Base Rate - interest rate central bank of South Korea" xr:uid="{00000000-0004-0000-1600-000003000000}"/>
    <hyperlink ref="A32" r:id="rId5" tooltip="BACEN SELIC rate - Brazilian central bank’s interest rate" xr:uid="{00000000-0004-0000-1600-000004000000}"/>
    <hyperlink ref="A33" r:id="rId6" tooltip="BoE Official Bank Rate - British central bank’s interest rate England" xr:uid="{00000000-0004-0000-1600-000005000000}"/>
    <hyperlink ref="A34" r:id="rId7" tooltip="BOC key interest rate - Canadian central bank’s interest rate" xr:uid="{00000000-0004-0000-1600-000006000000}"/>
    <hyperlink ref="A35" r:id="rId8" tooltip="PBC central bank base interest rate - Chinese central bank’s interest rate" xr:uid="{00000000-0004-0000-1600-000007000000}"/>
    <hyperlink ref="A36" r:id="rId9" tooltip="CNB 2 week Repo Rate - interest rate Czech Republic central bank" xr:uid="{00000000-0004-0000-1600-000008000000}"/>
    <hyperlink ref="A37" r:id="rId10" tooltip="Nationalbanken lending rate - Danish central bank’s interest rate" xr:uid="{00000000-0004-0000-1600-000009000000}"/>
    <hyperlink ref="A38" r:id="rId11" tooltip="ECB refi rate - European Central Bank’s interest rate" xr:uid="{00000000-0004-0000-1600-00000A000000}"/>
    <hyperlink ref="A39" r:id="rId12" tooltip="MNB key policy rate - interest rate central bank of Hungary" xr:uid="{00000000-0004-0000-1600-00000B000000}"/>
    <hyperlink ref="A40" r:id="rId13" tooltip="RBI repo rate - Indian central bank’s interest rate" xr:uid="{00000000-0004-0000-1600-00000C000000}"/>
    <hyperlink ref="A41" r:id="rId14" tooltip="BI rate - interest rate central bank of Indonesia" xr:uid="{00000000-0004-0000-1600-00000D000000}"/>
    <hyperlink ref="A42" r:id="rId15" tooltip="BOI headline rate of interest - interest rate central bank of Israel" xr:uid="{00000000-0004-0000-1600-00000E000000}"/>
    <hyperlink ref="A43" r:id="rId16" tooltip="BoJ overnight call rate - Japanese central bank’s interest rates" xr:uid="{00000000-0004-0000-1600-00000F000000}"/>
    <hyperlink ref="A44" r:id="rId17" tooltip="Banxico overnight interbank rate - Mexican central bank's interest rates" xr:uid="{00000000-0004-0000-1600-000010000000}"/>
    <hyperlink ref="A45" r:id="rId18" tooltip="RBNZ Official Cash rate - interest rate central bank of New Zealand" xr:uid="{00000000-0004-0000-1600-000011000000}"/>
    <hyperlink ref="A46" r:id="rId19" tooltip="KPR - Key Policy Rate - interest rate central bank of Norway" xr:uid="{00000000-0004-0000-1600-000012000000}"/>
    <hyperlink ref="A47" r:id="rId20" tooltip="NBP reference rate - interest rate central bank of Poland" xr:uid="{00000000-0004-0000-1600-000013000000}"/>
    <hyperlink ref="A48" r:id="rId21" tooltip="CBR refinancing rate - Russian central bank’s interest rate" xr:uid="{00000000-0004-0000-1600-000014000000}"/>
    <hyperlink ref="A49" r:id="rId22" tooltip="SAMA Repo Rate - interest rate central bank of Saudi Arabia" xr:uid="{00000000-0004-0000-1600-000015000000}"/>
    <hyperlink ref="A50" r:id="rId23" tooltip="SARB repo rate - South African central bank’s interest rate " xr:uid="{00000000-0004-0000-1600-000016000000}"/>
    <hyperlink ref="A51" r:id="rId24" tooltip="Riksbank repo rate - Swedish central bank’s interest rate" xr:uid="{00000000-0004-0000-1600-000017000000}"/>
    <hyperlink ref="A52" r:id="rId25" tooltip="SNB target range for 3-month LIBOR CHF - Swiss central bank’s interest rate" xr:uid="{00000000-0004-0000-1600-000018000000}"/>
    <hyperlink ref="A53" r:id="rId26" tooltip="CBRT overnight interest rate - Turkish central bank’s interest rate" xr:uid="{00000000-0004-0000-1600-000019000000}"/>
    <hyperlink ref="A59" r:id="rId27" tooltip="Overnight US dollar (USD) LIBOR interest rate" xr:uid="{00000000-0004-0000-1600-00001A000000}"/>
    <hyperlink ref="A60" r:id="rId28" tooltip="1 week US dollar (USD) Libor interest rate" xr:uid="{00000000-0004-0000-1600-00001B000000}"/>
    <hyperlink ref="A61" r:id="rId29" tooltip="2 week US dollar (USD) Libor interest rate" xr:uid="{00000000-0004-0000-1600-00001C000000}"/>
    <hyperlink ref="A62" r:id="rId30" tooltip="1 month US dollar (USD) Libor interest rate" xr:uid="{00000000-0004-0000-1600-00001D000000}"/>
    <hyperlink ref="A63" r:id="rId31" tooltip="2 month US dollar (USD) Libor interest rate" xr:uid="{00000000-0004-0000-1600-00001E000000}"/>
    <hyperlink ref="A64" r:id="rId32" tooltip="3 month US dollar (USD) Libor interest rate" xr:uid="{00000000-0004-0000-1600-00001F000000}"/>
    <hyperlink ref="A65" r:id="rId33" tooltip="4 month US dollar (USD) Libor interest rate" xr:uid="{00000000-0004-0000-1600-000020000000}"/>
    <hyperlink ref="A66" r:id="rId34" tooltip="5 month US dollar (USD) Libor interest rate" xr:uid="{00000000-0004-0000-1600-000021000000}"/>
    <hyperlink ref="A67" r:id="rId35" tooltip="6 month US dollar (USD) Libor interest rate" xr:uid="{00000000-0004-0000-1600-000022000000}"/>
    <hyperlink ref="A68" r:id="rId36" tooltip="7 month US dollar (USD) Libor interest rate" xr:uid="{00000000-0004-0000-1600-000023000000}"/>
    <hyperlink ref="A69" r:id="rId37" tooltip="8 month US dollar (USD) Libor interest rate" xr:uid="{00000000-0004-0000-1600-000024000000}"/>
    <hyperlink ref="A70" r:id="rId38" tooltip="9 month US dollar (USD) Libor interest rate" xr:uid="{00000000-0004-0000-1600-000025000000}"/>
    <hyperlink ref="A71" r:id="rId39" tooltip="10 month US dollar (USD) Libor interest rate" xr:uid="{00000000-0004-0000-1600-000026000000}"/>
    <hyperlink ref="A72" r:id="rId40" tooltip="11 month US dollar (USD) Libor interest rate" xr:uid="{00000000-0004-0000-1600-000027000000}"/>
    <hyperlink ref="A73" r:id="rId41" tooltip="12 month US dollar (USD) Libor interest rate" xr:uid="{00000000-0004-0000-1600-000028000000}"/>
    <hyperlink ref="A8" r:id="rId42" tooltip="1 week Euribor interest rate" xr:uid="{00000000-0004-0000-1600-000029000000}"/>
    <hyperlink ref="A9" r:id="rId43" tooltip="2 week Euribor interest rate" xr:uid="{00000000-0004-0000-1600-00002A000000}"/>
    <hyperlink ref="A10" r:id="rId44" tooltip="3 week Euribor interest rate" xr:uid="{00000000-0004-0000-1600-00002B000000}"/>
    <hyperlink ref="A11" r:id="rId45" tooltip="1 month Euribor interest rate" xr:uid="{00000000-0004-0000-1600-00002C000000}"/>
    <hyperlink ref="A12" r:id="rId46" tooltip="2 month Euribor interest rate" xr:uid="{00000000-0004-0000-1600-00002D000000}"/>
    <hyperlink ref="A13" r:id="rId47" tooltip="3 month Euribor interest rate" xr:uid="{00000000-0004-0000-1600-00002E000000}"/>
    <hyperlink ref="A14" r:id="rId48" tooltip="4 month Euribor interest rate" xr:uid="{00000000-0004-0000-1600-00002F000000}"/>
    <hyperlink ref="A15" r:id="rId49" tooltip="5 month Euribor interest rate" xr:uid="{00000000-0004-0000-1600-000030000000}"/>
    <hyperlink ref="A16" r:id="rId50" tooltip="6 month Euribor interest rate" xr:uid="{00000000-0004-0000-1600-000031000000}"/>
    <hyperlink ref="A17" r:id="rId51" tooltip="7 month Euribor interest rate" xr:uid="{00000000-0004-0000-1600-000032000000}"/>
    <hyperlink ref="A18" r:id="rId52" tooltip="8 month Euribor interest rate" xr:uid="{00000000-0004-0000-1600-000033000000}"/>
    <hyperlink ref="A19" r:id="rId53" tooltip="9 month Euribor interest rate" xr:uid="{00000000-0004-0000-1600-000034000000}"/>
    <hyperlink ref="A20" r:id="rId54" tooltip="10 month Euribor interest rate" xr:uid="{00000000-0004-0000-1600-000035000000}"/>
    <hyperlink ref="A21" r:id="rId55" tooltip="11 month Euribor interest rate" xr:uid="{00000000-0004-0000-1600-000036000000}"/>
    <hyperlink ref="A22" r:id="rId56" tooltip="12 month Euribor interest rate" xr:uid="{00000000-0004-0000-1600-000037000000}"/>
    <hyperlink ref="B4" r:id="rId57" xr:uid="{00000000-0004-0000-1600-000038000000}"/>
    <hyperlink ref="B55" r:id="rId58" xr:uid="{00000000-0004-0000-1600-000039000000}"/>
    <hyperlink ref="B24" r:id="rId59" xr:uid="{00000000-0004-0000-1600-00003A000000}"/>
  </hyperlinks>
  <pageMargins left="0.75" right="0.75" top="1" bottom="1" header="0.5" footer="0.5"/>
  <pageSetup paperSize="9" orientation="portrait" horizontalDpi="4294967292" verticalDpi="4294967292"/>
  <drawing r:id="rId6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B131"/>
  <sheetViews>
    <sheetView workbookViewId="0">
      <selection activeCell="C70" sqref="C70"/>
    </sheetView>
  </sheetViews>
  <sheetFormatPr defaultColWidth="11" defaultRowHeight="15.75"/>
  <cols>
    <col min="1" max="1" width="11" style="1278"/>
    <col min="2" max="2" width="15.85546875" style="1278" bestFit="1" customWidth="1"/>
    <col min="3" max="3" width="11" style="1278"/>
    <col min="4" max="4" width="9" style="1278" customWidth="1"/>
    <col min="5" max="16384" width="11" style="1278"/>
  </cols>
  <sheetData>
    <row r="1" spans="1:2" ht="18.75">
      <c r="A1" s="1387" t="s">
        <v>1495</v>
      </c>
      <c r="B1" s="1388"/>
    </row>
    <row r="3" spans="1:2">
      <c r="A3" s="1278" t="s">
        <v>2131</v>
      </c>
    </row>
    <row r="5" spans="1:2">
      <c r="A5" s="1317" t="s">
        <v>1497</v>
      </c>
      <c r="B5" s="1317"/>
    </row>
    <row r="6" spans="1:2">
      <c r="A6" s="1318" t="s">
        <v>1492</v>
      </c>
      <c r="B6" s="1318" t="s">
        <v>1493</v>
      </c>
    </row>
    <row r="7" spans="1:2">
      <c r="A7" s="1319">
        <v>41153</v>
      </c>
      <c r="B7" s="1320">
        <v>1.2855700000000001</v>
      </c>
    </row>
    <row r="8" spans="1:2">
      <c r="A8" s="1319">
        <v>41183</v>
      </c>
      <c r="B8" s="1320">
        <v>1.29742</v>
      </c>
    </row>
    <row r="9" spans="1:2">
      <c r="A9" s="1319">
        <v>41214</v>
      </c>
      <c r="B9" s="1320">
        <v>1.28277</v>
      </c>
    </row>
    <row r="10" spans="1:2">
      <c r="A10" s="1319">
        <v>41244</v>
      </c>
      <c r="B10" s="1320">
        <v>1.3119400000000001</v>
      </c>
    </row>
    <row r="11" spans="1:2">
      <c r="A11" s="1319">
        <v>41275</v>
      </c>
      <c r="B11" s="1320">
        <v>0.13288</v>
      </c>
    </row>
    <row r="12" spans="1:2">
      <c r="A12" s="1319">
        <v>41306</v>
      </c>
      <c r="B12" s="1320">
        <v>1.3359099999999999</v>
      </c>
    </row>
    <row r="13" spans="1:2">
      <c r="A13" s="1319">
        <v>41334</v>
      </c>
      <c r="B13" s="1320">
        <v>1.29636</v>
      </c>
    </row>
    <row r="14" spans="1:2">
      <c r="A14" s="1319">
        <v>41365</v>
      </c>
      <c r="B14" s="1320">
        <v>0.13025999999999999</v>
      </c>
    </row>
    <row r="15" spans="1:2">
      <c r="A15" s="1319">
        <v>41395</v>
      </c>
      <c r="B15" s="1320">
        <v>0.12981999999999999</v>
      </c>
    </row>
    <row r="16" spans="1:2">
      <c r="A16" s="1319">
        <v>41426</v>
      </c>
      <c r="B16" s="1320">
        <v>1.3188800000000001</v>
      </c>
    </row>
    <row r="17" spans="1:2">
      <c r="A17" s="1319">
        <v>41456</v>
      </c>
      <c r="B17" s="1320">
        <v>1.3080099999999999</v>
      </c>
    </row>
    <row r="18" spans="1:2">
      <c r="A18" s="1319">
        <v>41487</v>
      </c>
      <c r="B18" s="1320">
        <v>1.3309500000000001</v>
      </c>
    </row>
    <row r="19" spans="1:2">
      <c r="A19" s="1319">
        <v>41518</v>
      </c>
      <c r="B19" s="1320">
        <v>1.3347899999999999</v>
      </c>
    </row>
    <row r="20" spans="1:2">
      <c r="A20" s="1319">
        <v>41548</v>
      </c>
      <c r="B20" s="1320">
        <v>0.13635</v>
      </c>
    </row>
    <row r="21" spans="1:2">
      <c r="A21" s="1319">
        <v>41579</v>
      </c>
      <c r="B21" s="1320">
        <v>1.3492900000000001</v>
      </c>
    </row>
    <row r="22" spans="1:2">
      <c r="A22" s="1319">
        <v>41609</v>
      </c>
      <c r="B22" s="1320">
        <v>1.37036</v>
      </c>
    </row>
    <row r="23" spans="1:2">
      <c r="A23" s="1319">
        <v>41640</v>
      </c>
      <c r="B23" s="1320">
        <v>1.3610199999999999</v>
      </c>
    </row>
    <row r="24" spans="1:2">
      <c r="A24" s="1319">
        <v>41671</v>
      </c>
      <c r="B24" s="1320">
        <v>1.36585</v>
      </c>
    </row>
    <row r="25" spans="1:2">
      <c r="A25" s="1319">
        <v>41699</v>
      </c>
      <c r="B25" s="1320">
        <v>1.38225</v>
      </c>
    </row>
    <row r="26" spans="1:2">
      <c r="A26" s="1319">
        <v>41730</v>
      </c>
      <c r="B26" s="1320">
        <v>1.3812500000000001</v>
      </c>
    </row>
    <row r="27" spans="1:2">
      <c r="A27" s="1319">
        <v>41760</v>
      </c>
      <c r="B27" s="1320">
        <v>1.37321</v>
      </c>
    </row>
    <row r="28" spans="1:2">
      <c r="A28" s="1319">
        <v>41791</v>
      </c>
      <c r="B28" s="1320">
        <v>1.35924</v>
      </c>
    </row>
    <row r="29" spans="1:2">
      <c r="A29" s="1319">
        <v>41821</v>
      </c>
      <c r="B29" s="1320">
        <v>1.35392</v>
      </c>
    </row>
    <row r="30" spans="1:2">
      <c r="A30" s="1319">
        <v>41852</v>
      </c>
      <c r="B30" s="1320">
        <v>1.33161</v>
      </c>
    </row>
    <row r="31" spans="1:2">
      <c r="A31" s="1319">
        <v>41883</v>
      </c>
      <c r="B31" s="1320">
        <v>1.2901400000000001</v>
      </c>
    </row>
    <row r="32" spans="1:2">
      <c r="A32" s="1319">
        <v>41913</v>
      </c>
      <c r="B32" s="1320">
        <v>1.2672699999999999</v>
      </c>
    </row>
    <row r="33" spans="1:2">
      <c r="A33" s="1319">
        <v>41944</v>
      </c>
      <c r="B33" s="1320">
        <v>1.24722</v>
      </c>
    </row>
    <row r="34" spans="1:2">
      <c r="A34" s="1319">
        <v>41974</v>
      </c>
      <c r="B34" s="1320">
        <v>1.2331300000000001</v>
      </c>
    </row>
    <row r="35" spans="1:2">
      <c r="A35" s="1319">
        <v>42005</v>
      </c>
      <c r="B35" s="1320">
        <v>1.1621300000000001</v>
      </c>
    </row>
    <row r="36" spans="1:2">
      <c r="A36" s="1319">
        <v>42036</v>
      </c>
      <c r="B36" s="1320">
        <v>1.13497</v>
      </c>
    </row>
    <row r="37" spans="1:2">
      <c r="A37" s="1319">
        <v>42064</v>
      </c>
      <c r="B37" s="1320">
        <v>1.0837699999999999</v>
      </c>
    </row>
    <row r="38" spans="1:2">
      <c r="A38" s="1319">
        <v>42095</v>
      </c>
      <c r="B38" s="1320">
        <v>1.0779300000000001</v>
      </c>
    </row>
    <row r="39" spans="1:2">
      <c r="A39" s="1319">
        <v>42125</v>
      </c>
      <c r="B39" s="1320">
        <v>1.11496</v>
      </c>
    </row>
    <row r="40" spans="1:2">
      <c r="A40" s="1319">
        <v>42156</v>
      </c>
      <c r="B40" s="1320">
        <v>1.1213200000000001</v>
      </c>
    </row>
    <row r="41" spans="1:2">
      <c r="A41" s="1319">
        <v>42186</v>
      </c>
      <c r="B41" s="1320">
        <v>1.09958</v>
      </c>
    </row>
    <row r="42" spans="1:2">
      <c r="A42" s="1319">
        <v>42217</v>
      </c>
      <c r="B42" s="1320">
        <v>0.11139</v>
      </c>
    </row>
    <row r="43" spans="1:2">
      <c r="A43" s="1319">
        <v>42248</v>
      </c>
      <c r="B43" s="1320">
        <v>1.12212</v>
      </c>
    </row>
    <row r="44" spans="1:2">
      <c r="A44" s="1319">
        <v>42278</v>
      </c>
      <c r="B44" s="1320">
        <v>1.12351</v>
      </c>
    </row>
    <row r="45" spans="1:2">
      <c r="A45" s="1319">
        <v>42309</v>
      </c>
      <c r="B45" s="1320">
        <v>0.10736</v>
      </c>
    </row>
    <row r="48" spans="1:2">
      <c r="A48" s="1321" t="s">
        <v>1499</v>
      </c>
      <c r="B48" s="1321"/>
    </row>
    <row r="49" spans="1:2">
      <c r="A49" s="1322" t="s">
        <v>1498</v>
      </c>
      <c r="B49" s="1322"/>
    </row>
    <row r="50" spans="1:2">
      <c r="A50" s="1319">
        <v>41153</v>
      </c>
      <c r="B50" s="1320">
        <v>8.1272500000000001</v>
      </c>
    </row>
    <row r="51" spans="1:2">
      <c r="A51" s="1319">
        <v>41183</v>
      </c>
      <c r="B51" s="1320">
        <v>8.1389899999999997</v>
      </c>
    </row>
    <row r="52" spans="1:2">
      <c r="A52" s="1319">
        <v>41214</v>
      </c>
      <c r="B52" s="1320">
        <v>7.9998100000000001</v>
      </c>
    </row>
    <row r="53" spans="1:2">
      <c r="A53" s="1319">
        <v>41244</v>
      </c>
      <c r="B53" s="1320">
        <v>8.1808599999999991</v>
      </c>
    </row>
    <row r="54" spans="1:2">
      <c r="A54" s="1319">
        <v>41275</v>
      </c>
      <c r="B54" s="1320">
        <v>8.2697900000000004</v>
      </c>
    </row>
    <row r="55" spans="1:2">
      <c r="A55" s="1319">
        <v>41306</v>
      </c>
      <c r="B55" s="1320">
        <v>8.32822</v>
      </c>
    </row>
    <row r="56" spans="1:2">
      <c r="A56" s="1319">
        <v>41334</v>
      </c>
      <c r="B56" s="1320">
        <v>0.80598999999999998</v>
      </c>
    </row>
    <row r="57" spans="1:2">
      <c r="A57" s="1319">
        <v>41365</v>
      </c>
      <c r="B57" s="1320">
        <v>8.0563900000000004</v>
      </c>
    </row>
    <row r="58" spans="1:2">
      <c r="A58" s="1319">
        <v>41395</v>
      </c>
      <c r="B58" s="1320">
        <v>0.79715000000000003</v>
      </c>
    </row>
    <row r="59" spans="1:2">
      <c r="A59" s="1319">
        <v>41426</v>
      </c>
      <c r="B59" s="1320">
        <v>8.0905100000000001</v>
      </c>
    </row>
    <row r="60" spans="1:2">
      <c r="A60" s="1319">
        <v>41456</v>
      </c>
      <c r="B60" s="1320">
        <v>8.0234199999999998</v>
      </c>
    </row>
    <row r="61" spans="1:2">
      <c r="A61" s="1319">
        <v>41487</v>
      </c>
      <c r="B61" s="1320">
        <v>8.1476699999999997</v>
      </c>
    </row>
    <row r="62" spans="1:2">
      <c r="A62" s="1319">
        <v>41518</v>
      </c>
      <c r="B62" s="1320">
        <v>8.1689600000000002</v>
      </c>
    </row>
    <row r="63" spans="1:2">
      <c r="A63" s="1319">
        <v>41548</v>
      </c>
      <c r="B63" s="1320">
        <v>8.3226399999999998</v>
      </c>
    </row>
    <row r="64" spans="1:2">
      <c r="A64" s="1319">
        <v>41579</v>
      </c>
      <c r="B64" s="1320">
        <v>0.82221</v>
      </c>
    </row>
    <row r="65" spans="1:2">
      <c r="A65" s="1319">
        <v>41609</v>
      </c>
      <c r="B65" s="1320">
        <v>8.3247599999999995</v>
      </c>
    </row>
    <row r="66" spans="1:2">
      <c r="A66" s="1319">
        <v>41640</v>
      </c>
      <c r="B66" s="1320">
        <v>8.2368299999999994</v>
      </c>
    </row>
    <row r="67" spans="1:2">
      <c r="A67" s="1319">
        <v>41671</v>
      </c>
      <c r="B67" s="1320">
        <v>8.3061699999999998</v>
      </c>
    </row>
    <row r="68" spans="1:2">
      <c r="A68" s="1319">
        <v>41699</v>
      </c>
      <c r="B68" s="1320">
        <v>8.5331600000000005</v>
      </c>
    </row>
    <row r="69" spans="1:2">
      <c r="A69" s="1319">
        <v>41730</v>
      </c>
      <c r="B69" s="1320">
        <v>8.5983599999999996</v>
      </c>
    </row>
    <row r="70" spans="1:2">
      <c r="A70" s="1319">
        <v>41760</v>
      </c>
      <c r="B70" s="1320">
        <v>8.5658200000000004</v>
      </c>
    </row>
    <row r="71" spans="1:2">
      <c r="A71" s="1319">
        <v>41791</v>
      </c>
      <c r="B71" s="1320">
        <v>8.46983</v>
      </c>
    </row>
    <row r="72" spans="1:2">
      <c r="A72" s="1319">
        <v>41821</v>
      </c>
      <c r="B72" s="1320">
        <v>8.3940199999999994</v>
      </c>
    </row>
    <row r="73" spans="1:2">
      <c r="A73" s="1319">
        <v>41852</v>
      </c>
      <c r="B73" s="1320">
        <v>8.1965299999999992</v>
      </c>
    </row>
    <row r="74" spans="1:2">
      <c r="A74" s="1319">
        <v>41883</v>
      </c>
      <c r="B74" s="1320">
        <v>7.9207400000000003</v>
      </c>
    </row>
    <row r="75" spans="1:2">
      <c r="A75" s="1319">
        <v>41913</v>
      </c>
      <c r="B75" s="1320">
        <v>7.7634600000000002</v>
      </c>
    </row>
    <row r="76" spans="1:2">
      <c r="A76" s="1319">
        <v>41944</v>
      </c>
      <c r="B76" s="1320">
        <v>7.6410600000000004</v>
      </c>
    </row>
    <row r="77" spans="1:2">
      <c r="A77" s="1319">
        <v>41974</v>
      </c>
      <c r="B77" s="1320">
        <v>7.6329999999999995E-2</v>
      </c>
    </row>
    <row r="78" spans="1:2">
      <c r="A78" s="1319">
        <v>42005</v>
      </c>
      <c r="B78" s="1320">
        <v>7.2269300000000003</v>
      </c>
    </row>
    <row r="79" spans="1:2">
      <c r="A79" s="1319">
        <v>42036</v>
      </c>
      <c r="B79" s="1320">
        <v>7.0959899999999996</v>
      </c>
    </row>
    <row r="80" spans="1:2">
      <c r="A80" s="1319">
        <v>42064</v>
      </c>
      <c r="B80" s="1320">
        <v>6.7622799999999996</v>
      </c>
    </row>
    <row r="81" spans="1:2">
      <c r="A81" s="1319">
        <v>42095</v>
      </c>
      <c r="B81" s="1320">
        <v>6.6862500000000002</v>
      </c>
    </row>
    <row r="82" spans="1:2">
      <c r="A82" s="1319">
        <v>42125</v>
      </c>
      <c r="B82" s="1320">
        <v>6.9164899999999996</v>
      </c>
    </row>
    <row r="83" spans="1:2">
      <c r="A83" s="1319">
        <v>42156</v>
      </c>
      <c r="B83" s="1320">
        <v>6.9586600000000001</v>
      </c>
    </row>
    <row r="84" spans="1:2">
      <c r="A84" s="1319">
        <v>42186</v>
      </c>
      <c r="B84" s="1320">
        <v>0.68269000000000002</v>
      </c>
    </row>
    <row r="85" spans="1:2">
      <c r="A85" s="1319">
        <v>42217</v>
      </c>
      <c r="B85" s="1320">
        <v>7.0625499999999999</v>
      </c>
    </row>
    <row r="86" spans="1:2">
      <c r="A86" s="1319">
        <v>42248</v>
      </c>
      <c r="B86" s="1320">
        <v>7.1462199999999996</v>
      </c>
    </row>
    <row r="87" spans="1:2">
      <c r="A87" s="1319">
        <v>42278</v>
      </c>
      <c r="B87" s="1320">
        <v>7.1345700000000001</v>
      </c>
    </row>
    <row r="88" spans="1:2">
      <c r="A88" s="1319">
        <v>42309</v>
      </c>
      <c r="B88" s="1320">
        <v>6.8397800000000002</v>
      </c>
    </row>
    <row r="91" spans="1:2">
      <c r="A91" s="1317" t="s">
        <v>1494</v>
      </c>
      <c r="B91" s="1317"/>
    </row>
    <row r="92" spans="1:2">
      <c r="A92" s="1323" t="s">
        <v>1492</v>
      </c>
      <c r="B92" s="1323" t="s">
        <v>1493</v>
      </c>
    </row>
    <row r="93" spans="1:2">
      <c r="A93" s="1319">
        <v>41153</v>
      </c>
      <c r="B93" s="1320">
        <v>1.20886</v>
      </c>
    </row>
    <row r="94" spans="1:2">
      <c r="A94" s="1319">
        <v>41183</v>
      </c>
      <c r="B94" s="1320">
        <v>1.2097599999999999</v>
      </c>
    </row>
    <row r="95" spans="1:2">
      <c r="A95" s="1319">
        <v>41214</v>
      </c>
      <c r="B95" s="1320">
        <v>1.20516</v>
      </c>
    </row>
    <row r="96" spans="1:2">
      <c r="A96" s="1319">
        <v>41244</v>
      </c>
      <c r="B96" s="1320">
        <v>1.2091099999999999</v>
      </c>
    </row>
    <row r="97" spans="1:2">
      <c r="A97" s="1319">
        <v>41275</v>
      </c>
      <c r="B97" s="1320">
        <v>1.22878</v>
      </c>
    </row>
    <row r="98" spans="1:2">
      <c r="A98" s="1319">
        <v>41306</v>
      </c>
      <c r="B98" s="1320">
        <v>1.2297800000000001</v>
      </c>
    </row>
    <row r="99" spans="1:2">
      <c r="A99" s="1319">
        <v>41334</v>
      </c>
      <c r="B99" s="1320">
        <v>0.12266000000000001</v>
      </c>
    </row>
    <row r="100" spans="1:2">
      <c r="A100" s="1319">
        <v>41365</v>
      </c>
      <c r="B100" s="1320">
        <v>1.2198899999999999</v>
      </c>
    </row>
    <row r="101" spans="1:2">
      <c r="A101" s="1319">
        <v>41395</v>
      </c>
      <c r="B101" s="1320">
        <v>1.2418400000000001</v>
      </c>
    </row>
    <row r="102" spans="1:2">
      <c r="A102" s="1319">
        <v>41426</v>
      </c>
      <c r="B102" s="1320">
        <v>1.2322500000000001</v>
      </c>
    </row>
    <row r="103" spans="1:2">
      <c r="A103" s="1319">
        <v>41456</v>
      </c>
      <c r="B103" s="1320">
        <v>1.2365900000000001</v>
      </c>
    </row>
    <row r="104" spans="1:2">
      <c r="A104" s="1319">
        <v>41487</v>
      </c>
      <c r="B104" s="1320">
        <v>1.23377</v>
      </c>
    </row>
    <row r="105" spans="1:2">
      <c r="A105" s="1319">
        <v>41518</v>
      </c>
      <c r="B105" s="1320">
        <v>1.23383</v>
      </c>
    </row>
    <row r="106" spans="1:2">
      <c r="A106" s="1319">
        <v>41548</v>
      </c>
      <c r="B106" s="1320">
        <v>1.2316400000000001</v>
      </c>
    </row>
    <row r="107" spans="1:2">
      <c r="A107" s="1319">
        <v>41579</v>
      </c>
      <c r="B107" s="1320">
        <v>1.2316400000000001</v>
      </c>
    </row>
    <row r="108" spans="1:2">
      <c r="A108" s="1319">
        <v>41609</v>
      </c>
      <c r="B108" s="1320">
        <v>1.2244600000000001</v>
      </c>
    </row>
    <row r="109" spans="1:2">
      <c r="A109" s="1319">
        <v>41640</v>
      </c>
      <c r="B109" s="1320">
        <v>1.23169</v>
      </c>
    </row>
    <row r="110" spans="1:2">
      <c r="A110" s="1319">
        <v>41671</v>
      </c>
      <c r="B110" s="1320">
        <v>1.2212400000000001</v>
      </c>
    </row>
    <row r="111" spans="1:2">
      <c r="A111" s="1319">
        <v>41699</v>
      </c>
      <c r="B111" s="1320">
        <v>1.21767</v>
      </c>
    </row>
    <row r="112" spans="1:2">
      <c r="A112" s="1319">
        <v>41730</v>
      </c>
      <c r="B112" s="1320">
        <v>1.21895</v>
      </c>
    </row>
    <row r="113" spans="1:2">
      <c r="A113" s="1319">
        <v>41760</v>
      </c>
      <c r="B113" s="1320">
        <v>1.22044</v>
      </c>
    </row>
    <row r="114" spans="1:2">
      <c r="A114" s="1319">
        <v>41791</v>
      </c>
      <c r="B114" s="1320">
        <v>1.21811</v>
      </c>
    </row>
    <row r="115" spans="1:2">
      <c r="A115" s="1319">
        <v>41821</v>
      </c>
      <c r="B115" s="1320">
        <v>1.2149999999999999E-2</v>
      </c>
    </row>
    <row r="116" spans="1:2">
      <c r="A116" s="1319">
        <v>41852</v>
      </c>
      <c r="B116" s="1320">
        <v>0.12118</v>
      </c>
    </row>
    <row r="117" spans="1:2">
      <c r="A117" s="1319">
        <v>41883</v>
      </c>
      <c r="B117" s="1320">
        <v>1.20757</v>
      </c>
    </row>
    <row r="118" spans="1:2">
      <c r="A118" s="1319">
        <v>41913</v>
      </c>
      <c r="B118" s="1320">
        <v>1.2078100000000001</v>
      </c>
    </row>
    <row r="119" spans="1:2">
      <c r="A119" s="1319">
        <v>41944</v>
      </c>
      <c r="B119" s="1320">
        <v>1.2027300000000001</v>
      </c>
    </row>
    <row r="120" spans="1:2">
      <c r="A120" s="1319">
        <v>41974</v>
      </c>
      <c r="B120" s="1320">
        <v>1.2025699999999999</v>
      </c>
    </row>
    <row r="121" spans="1:2">
      <c r="A121" s="1319">
        <v>42005</v>
      </c>
      <c r="B121" s="1320">
        <v>1.09405</v>
      </c>
    </row>
    <row r="122" spans="1:2">
      <c r="A122" s="1319">
        <v>42036</v>
      </c>
      <c r="B122" s="1320">
        <v>1.0618399999999999</v>
      </c>
    </row>
    <row r="123" spans="1:2">
      <c r="A123" s="1319">
        <v>42064</v>
      </c>
      <c r="B123" s="1320">
        <v>1.06081</v>
      </c>
    </row>
    <row r="124" spans="1:2">
      <c r="A124" s="1319">
        <v>42095</v>
      </c>
      <c r="B124" s="1320">
        <v>1.0379400000000001</v>
      </c>
    </row>
    <row r="125" spans="1:2">
      <c r="A125" s="1319">
        <v>42125</v>
      </c>
      <c r="B125" s="1320">
        <v>1.0391300000000001</v>
      </c>
    </row>
    <row r="126" spans="1:2">
      <c r="A126" s="1319">
        <v>42156</v>
      </c>
      <c r="B126" s="1320">
        <v>1.04548</v>
      </c>
    </row>
    <row r="127" spans="1:2">
      <c r="A127" s="1319">
        <v>42186</v>
      </c>
      <c r="B127" s="1320">
        <v>1.04918</v>
      </c>
    </row>
    <row r="128" spans="1:2">
      <c r="A128" s="1319">
        <v>42217</v>
      </c>
      <c r="B128" s="1320">
        <v>0.10777</v>
      </c>
    </row>
    <row r="129" spans="1:2">
      <c r="A129" s="1319">
        <v>42248</v>
      </c>
      <c r="B129" s="1320">
        <v>1.0912900000000001</v>
      </c>
    </row>
    <row r="130" spans="1:2">
      <c r="A130" s="1319">
        <v>42278</v>
      </c>
      <c r="B130" s="1320">
        <v>1.08823</v>
      </c>
    </row>
    <row r="131" spans="1:2">
      <c r="A131" s="1319">
        <v>42309</v>
      </c>
      <c r="B131" s="1320">
        <v>1.0832900000000001</v>
      </c>
    </row>
  </sheetData>
  <mergeCells count="1">
    <mergeCell ref="A1:B1"/>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C45"/>
  <sheetViews>
    <sheetView tabSelected="1" workbookViewId="0">
      <selection activeCell="J11" sqref="J11"/>
    </sheetView>
  </sheetViews>
  <sheetFormatPr defaultColWidth="11" defaultRowHeight="15.75"/>
  <cols>
    <col min="1" max="16384" width="11" style="1278"/>
  </cols>
  <sheetData>
    <row r="1" spans="1:3" ht="18.75">
      <c r="A1" s="1387" t="s">
        <v>1505</v>
      </c>
      <c r="B1" s="1388"/>
      <c r="C1" s="1388"/>
    </row>
    <row r="3" spans="1:3">
      <c r="A3" s="183" t="s">
        <v>1506</v>
      </c>
    </row>
    <row r="5" spans="1:3">
      <c r="A5" s="1389" t="s">
        <v>1500</v>
      </c>
      <c r="B5" s="1390"/>
      <c r="C5" s="1390"/>
    </row>
    <row r="6" spans="1:3">
      <c r="A6" s="1279" t="s">
        <v>1501</v>
      </c>
      <c r="B6" s="1279" t="s">
        <v>1502</v>
      </c>
      <c r="C6" s="1279" t="s">
        <v>1503</v>
      </c>
    </row>
    <row r="7" spans="1:3">
      <c r="A7" s="1280" t="s">
        <v>1785</v>
      </c>
      <c r="B7" s="1280" t="s">
        <v>1786</v>
      </c>
      <c r="C7" s="1280" t="s">
        <v>1787</v>
      </c>
    </row>
    <row r="8" spans="1:3">
      <c r="A8" s="1281" t="s">
        <v>1788</v>
      </c>
      <c r="B8" s="1281" t="s">
        <v>1789</v>
      </c>
      <c r="C8" s="1281" t="s">
        <v>1790</v>
      </c>
    </row>
    <row r="9" spans="1:3">
      <c r="A9" s="1282">
        <v>41214</v>
      </c>
      <c r="B9" s="1280" t="s">
        <v>1791</v>
      </c>
      <c r="C9" s="1280" t="s">
        <v>1792</v>
      </c>
    </row>
    <row r="10" spans="1:3">
      <c r="A10" s="1281" t="s">
        <v>1793</v>
      </c>
      <c r="B10" s="1281" t="s">
        <v>1791</v>
      </c>
      <c r="C10" s="1281" t="s">
        <v>1794</v>
      </c>
    </row>
    <row r="11" spans="1:3">
      <c r="A11" s="1280" t="s">
        <v>1795</v>
      </c>
      <c r="B11" s="1280" t="s">
        <v>1796</v>
      </c>
      <c r="C11" s="1280" t="s">
        <v>1797</v>
      </c>
    </row>
    <row r="12" spans="1:3">
      <c r="A12" s="1283">
        <v>41306</v>
      </c>
      <c r="B12" s="1281" t="s">
        <v>1798</v>
      </c>
      <c r="C12" s="1281" t="s">
        <v>1799</v>
      </c>
    </row>
    <row r="13" spans="1:3">
      <c r="A13" s="1282">
        <v>41334</v>
      </c>
      <c r="B13" s="1280" t="s">
        <v>1800</v>
      </c>
      <c r="C13" s="1280" t="s">
        <v>1801</v>
      </c>
    </row>
    <row r="14" spans="1:3">
      <c r="A14" s="1283">
        <v>41365</v>
      </c>
      <c r="B14" s="1281" t="s">
        <v>1802</v>
      </c>
      <c r="C14" s="1281" t="s">
        <v>1803</v>
      </c>
    </row>
    <row r="15" spans="1:3">
      <c r="A15" s="1280" t="s">
        <v>1804</v>
      </c>
      <c r="B15" s="1280" t="s">
        <v>1805</v>
      </c>
      <c r="C15" s="1280" t="s">
        <v>1806</v>
      </c>
    </row>
    <row r="16" spans="1:3">
      <c r="A16" s="1281" t="s">
        <v>1807</v>
      </c>
      <c r="B16" s="1281" t="s">
        <v>1808</v>
      </c>
      <c r="C16" s="1281" t="s">
        <v>1809</v>
      </c>
    </row>
    <row r="17" spans="1:3">
      <c r="A17" s="1280" t="s">
        <v>1810</v>
      </c>
      <c r="B17" s="1280" t="s">
        <v>1811</v>
      </c>
      <c r="C17" s="1280" t="s">
        <v>1812</v>
      </c>
    </row>
    <row r="18" spans="1:3">
      <c r="A18" s="1281" t="s">
        <v>1813</v>
      </c>
      <c r="B18" s="1281" t="s">
        <v>1814</v>
      </c>
      <c r="C18" s="1281" t="s">
        <v>1815</v>
      </c>
    </row>
    <row r="19" spans="1:3">
      <c r="A19" s="1280" t="s">
        <v>1816</v>
      </c>
      <c r="B19" s="1280" t="s">
        <v>1817</v>
      </c>
      <c r="C19" s="1280" t="s">
        <v>1818</v>
      </c>
    </row>
    <row r="20" spans="1:3">
      <c r="A20" s="1281" t="s">
        <v>1819</v>
      </c>
      <c r="B20" s="1281" t="s">
        <v>1820</v>
      </c>
      <c r="C20" s="1281" t="s">
        <v>1821</v>
      </c>
    </row>
    <row r="21" spans="1:3">
      <c r="A21" s="1282">
        <v>41579</v>
      </c>
      <c r="B21" s="1280" t="s">
        <v>1822</v>
      </c>
      <c r="C21" s="1280" t="s">
        <v>1823</v>
      </c>
    </row>
    <row r="22" spans="1:3">
      <c r="A22" s="1281" t="s">
        <v>1824</v>
      </c>
      <c r="B22" s="1281" t="s">
        <v>1825</v>
      </c>
      <c r="C22" s="1281" t="s">
        <v>1826</v>
      </c>
    </row>
    <row r="23" spans="1:3">
      <c r="A23" s="1280" t="s">
        <v>1827</v>
      </c>
      <c r="B23" s="1280" t="s">
        <v>1828</v>
      </c>
      <c r="C23" s="1280" t="s">
        <v>1829</v>
      </c>
    </row>
    <row r="24" spans="1:3">
      <c r="A24" s="1283">
        <v>41671</v>
      </c>
      <c r="B24" s="1281" t="s">
        <v>1830</v>
      </c>
      <c r="C24" s="1281" t="s">
        <v>1831</v>
      </c>
    </row>
    <row r="25" spans="1:3">
      <c r="A25" s="1282">
        <v>41699</v>
      </c>
      <c r="B25" s="1280" t="s">
        <v>1832</v>
      </c>
      <c r="C25" s="1280" t="s">
        <v>1833</v>
      </c>
    </row>
    <row r="26" spans="1:3">
      <c r="A26" s="1283">
        <v>41730</v>
      </c>
      <c r="B26" s="1281" t="s">
        <v>1834</v>
      </c>
      <c r="C26" s="1281" t="s">
        <v>1835</v>
      </c>
    </row>
    <row r="27" spans="1:3">
      <c r="A27" s="1280" t="s">
        <v>1836</v>
      </c>
      <c r="B27" s="1280" t="s">
        <v>1837</v>
      </c>
      <c r="C27" s="1280" t="s">
        <v>1838</v>
      </c>
    </row>
    <row r="28" spans="1:3">
      <c r="A28" s="1281" t="s">
        <v>1839</v>
      </c>
      <c r="B28" s="1281" t="s">
        <v>1840</v>
      </c>
      <c r="C28" s="1281" t="s">
        <v>1841</v>
      </c>
    </row>
    <row r="29" spans="1:3">
      <c r="A29" s="1280" t="s">
        <v>1842</v>
      </c>
      <c r="B29" s="1280" t="s">
        <v>1843</v>
      </c>
      <c r="C29" s="1280" t="s">
        <v>1844</v>
      </c>
    </row>
    <row r="30" spans="1:3">
      <c r="A30" s="1281" t="s">
        <v>1845</v>
      </c>
      <c r="B30" s="1281" t="s">
        <v>1846</v>
      </c>
      <c r="C30" s="1281" t="s">
        <v>1847</v>
      </c>
    </row>
    <row r="31" spans="1:3">
      <c r="A31" s="1280" t="s">
        <v>1848</v>
      </c>
      <c r="B31" s="1280" t="s">
        <v>1849</v>
      </c>
      <c r="C31" s="1280" t="s">
        <v>1850</v>
      </c>
    </row>
    <row r="32" spans="1:3">
      <c r="A32" s="1281" t="s">
        <v>1851</v>
      </c>
      <c r="B32" s="1281" t="s">
        <v>1852</v>
      </c>
      <c r="C32" s="1281" t="s">
        <v>1853</v>
      </c>
    </row>
    <row r="33" spans="1:3">
      <c r="A33" s="1282">
        <v>41944</v>
      </c>
      <c r="B33" s="1280" t="s">
        <v>1854</v>
      </c>
      <c r="C33" s="1280" t="s">
        <v>1855</v>
      </c>
    </row>
    <row r="34" spans="1:3">
      <c r="A34" s="1281" t="s">
        <v>1856</v>
      </c>
      <c r="B34" s="1281" t="s">
        <v>1857</v>
      </c>
      <c r="C34" s="1281" t="s">
        <v>1858</v>
      </c>
    </row>
    <row r="35" spans="1:3">
      <c r="A35" s="1280" t="s">
        <v>1859</v>
      </c>
      <c r="B35" s="1280" t="s">
        <v>1860</v>
      </c>
      <c r="C35" s="1280" t="s">
        <v>1861</v>
      </c>
    </row>
    <row r="36" spans="1:3">
      <c r="A36" s="1283">
        <v>42036</v>
      </c>
      <c r="B36" s="1281" t="s">
        <v>1862</v>
      </c>
      <c r="C36" s="1281" t="s">
        <v>1863</v>
      </c>
    </row>
    <row r="37" spans="1:3">
      <c r="A37" s="1282">
        <v>42064</v>
      </c>
      <c r="B37" s="1280" t="s">
        <v>1864</v>
      </c>
      <c r="C37" s="1280" t="s">
        <v>1865</v>
      </c>
    </row>
    <row r="38" spans="1:3">
      <c r="A38" s="1283">
        <v>42095</v>
      </c>
      <c r="B38" s="1281" t="s">
        <v>1866</v>
      </c>
      <c r="C38" s="1281" t="s">
        <v>1867</v>
      </c>
    </row>
    <row r="39" spans="1:3">
      <c r="A39" s="1280" t="s">
        <v>1868</v>
      </c>
      <c r="B39" s="1280" t="s">
        <v>1869</v>
      </c>
      <c r="C39" s="1280" t="s">
        <v>1870</v>
      </c>
    </row>
    <row r="40" spans="1:3">
      <c r="A40" s="1281" t="s">
        <v>1871</v>
      </c>
      <c r="B40" s="1281" t="s">
        <v>1872</v>
      </c>
      <c r="C40" s="1281" t="s">
        <v>1873</v>
      </c>
    </row>
    <row r="41" spans="1:3">
      <c r="A41" s="1280" t="s">
        <v>1874</v>
      </c>
      <c r="B41" s="1280" t="s">
        <v>1875</v>
      </c>
      <c r="C41" s="1280" t="s">
        <v>1876</v>
      </c>
    </row>
    <row r="42" spans="1:3">
      <c r="A42" s="1281" t="s">
        <v>1877</v>
      </c>
      <c r="B42" s="1281" t="s">
        <v>1878</v>
      </c>
      <c r="C42" s="1281" t="s">
        <v>1879</v>
      </c>
    </row>
    <row r="43" spans="1:3">
      <c r="A43" s="1280" t="s">
        <v>1880</v>
      </c>
      <c r="B43" s="1280" t="s">
        <v>1881</v>
      </c>
      <c r="C43" s="1280" t="s">
        <v>1882</v>
      </c>
    </row>
    <row r="44" spans="1:3">
      <c r="A44" s="1281" t="s">
        <v>1883</v>
      </c>
      <c r="B44" s="1281" t="s">
        <v>1884</v>
      </c>
      <c r="C44" s="1281" t="s">
        <v>1885</v>
      </c>
    </row>
    <row r="45" spans="1:3">
      <c r="A45" s="1282">
        <v>42309</v>
      </c>
      <c r="B45" s="1280" t="s">
        <v>1886</v>
      </c>
      <c r="C45" s="1280" t="s">
        <v>1887</v>
      </c>
    </row>
  </sheetData>
  <mergeCells count="2">
    <mergeCell ref="A1:C1"/>
    <mergeCell ref="A5:C5"/>
  </mergeCells>
  <hyperlinks>
    <hyperlink ref="A3" r:id="rId1" xr:uid="{00000000-0004-0000-1800-000000000000}"/>
  </hyperlinks>
  <pageMargins left="0.75" right="0.75" top="1" bottom="1" header="0.5" footer="0.5"/>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2"/>
  <sheetViews>
    <sheetView topLeftCell="A4" zoomScale="110" zoomScaleNormal="110" zoomScalePageLayoutView="110" workbookViewId="0">
      <selection activeCell="B10" sqref="B10"/>
    </sheetView>
  </sheetViews>
  <sheetFormatPr defaultColWidth="8.85546875" defaultRowHeight="12.75"/>
  <cols>
    <col min="1" max="1" width="26.42578125" bestFit="1" customWidth="1"/>
    <col min="2" max="2" width="13.28515625" customWidth="1"/>
    <col min="3" max="7" width="11.42578125" customWidth="1"/>
  </cols>
  <sheetData>
    <row r="1" spans="1:7" ht="15">
      <c r="A1" s="1383" t="s">
        <v>1369</v>
      </c>
      <c r="B1" s="1384"/>
      <c r="C1" s="1384"/>
    </row>
    <row r="4" spans="1:7" ht="15">
      <c r="A4" s="801" t="s">
        <v>1057</v>
      </c>
      <c r="B4" s="802"/>
      <c r="C4" s="803" t="s">
        <v>728</v>
      </c>
      <c r="D4" s="803" t="s">
        <v>727</v>
      </c>
      <c r="E4" s="803" t="s">
        <v>1317</v>
      </c>
      <c r="F4" s="803" t="s">
        <v>1318</v>
      </c>
      <c r="G4" s="804" t="s">
        <v>372</v>
      </c>
    </row>
    <row r="5" spans="1:7">
      <c r="A5" s="431" t="s">
        <v>1270</v>
      </c>
      <c r="B5" s="421"/>
      <c r="C5" s="422">
        <v>60</v>
      </c>
      <c r="D5" s="422">
        <v>60</v>
      </c>
      <c r="E5" s="422">
        <v>60</v>
      </c>
      <c r="F5" s="422">
        <v>60</v>
      </c>
      <c r="G5" s="423">
        <v>60</v>
      </c>
    </row>
    <row r="6" spans="1:7">
      <c r="A6" s="431"/>
      <c r="B6" s="424"/>
      <c r="C6" s="424"/>
      <c r="D6" s="424"/>
      <c r="E6" s="424"/>
      <c r="F6" s="424"/>
      <c r="G6" s="425"/>
    </row>
    <row r="7" spans="1:7">
      <c r="A7" s="432" t="s">
        <v>1574</v>
      </c>
      <c r="B7" s="1256">
        <v>9.1899999999999996E-2</v>
      </c>
      <c r="C7" s="424"/>
      <c r="D7" s="424"/>
      <c r="E7" s="424"/>
      <c r="F7" s="424"/>
      <c r="G7" s="425"/>
    </row>
    <row r="8" spans="1:7">
      <c r="A8" s="432" t="s">
        <v>1139</v>
      </c>
      <c r="B8" s="1256">
        <v>3.1899999999999998E-2</v>
      </c>
      <c r="C8" s="424"/>
      <c r="D8" s="424"/>
      <c r="E8" s="424"/>
      <c r="F8" s="424"/>
      <c r="G8" s="425"/>
    </row>
    <row r="9" spans="1:7">
      <c r="A9" s="432" t="s">
        <v>1140</v>
      </c>
      <c r="B9" s="1256">
        <v>0.03</v>
      </c>
      <c r="C9" s="424"/>
      <c r="D9" s="424"/>
      <c r="E9" s="424"/>
      <c r="F9" s="424"/>
      <c r="G9" s="425"/>
    </row>
    <row r="10" spans="1:7">
      <c r="A10" s="433" t="s">
        <v>1058</v>
      </c>
      <c r="B10" s="1257">
        <v>0.21</v>
      </c>
      <c r="C10" s="424"/>
      <c r="D10" s="424"/>
      <c r="E10" s="424"/>
      <c r="F10" s="424"/>
      <c r="G10" s="425"/>
    </row>
    <row r="11" spans="1:7">
      <c r="A11" s="592" t="s">
        <v>1575</v>
      </c>
      <c r="B11" s="1257">
        <v>0.06</v>
      </c>
      <c r="C11" s="424"/>
      <c r="D11" s="424"/>
      <c r="E11" s="424"/>
      <c r="F11" s="424"/>
      <c r="G11" s="425"/>
    </row>
    <row r="12" spans="1:7">
      <c r="A12" s="434"/>
      <c r="B12" s="424"/>
      <c r="C12" s="424"/>
      <c r="D12" s="424"/>
      <c r="E12" s="424"/>
      <c r="F12" s="424"/>
      <c r="G12" s="425"/>
    </row>
    <row r="13" spans="1:7">
      <c r="A13" s="431" t="s">
        <v>1016</v>
      </c>
      <c r="B13" s="424"/>
      <c r="C13" s="422">
        <v>1000</v>
      </c>
      <c r="D13" s="422">
        <v>1000</v>
      </c>
      <c r="E13" s="422">
        <v>1000</v>
      </c>
      <c r="F13" s="422">
        <v>1000</v>
      </c>
      <c r="G13" s="423">
        <v>1000</v>
      </c>
    </row>
    <row r="14" spans="1:7">
      <c r="A14" s="431" t="s">
        <v>180</v>
      </c>
      <c r="B14" s="424"/>
      <c r="C14" s="422">
        <v>300</v>
      </c>
      <c r="D14" s="422">
        <v>300</v>
      </c>
      <c r="E14" s="422">
        <v>300</v>
      </c>
      <c r="F14" s="422">
        <v>300</v>
      </c>
      <c r="G14" s="423">
        <v>300</v>
      </c>
    </row>
    <row r="15" spans="1:7">
      <c r="A15" s="431" t="s">
        <v>926</v>
      </c>
      <c r="B15" s="424"/>
      <c r="C15" s="422">
        <v>0</v>
      </c>
      <c r="D15" s="422">
        <v>0</v>
      </c>
      <c r="E15" s="422">
        <v>0</v>
      </c>
      <c r="F15" s="422">
        <v>0</v>
      </c>
      <c r="G15" s="423">
        <v>0</v>
      </c>
    </row>
    <row r="16" spans="1:7">
      <c r="A16" s="434"/>
      <c r="B16" s="424"/>
      <c r="C16" s="424"/>
      <c r="D16" s="424"/>
      <c r="E16" s="424"/>
      <c r="F16" s="424"/>
      <c r="G16" s="425"/>
    </row>
    <row r="17" spans="1:7">
      <c r="A17" s="434" t="s">
        <v>1023</v>
      </c>
      <c r="B17" s="422">
        <v>0.88</v>
      </c>
      <c r="C17" s="424"/>
      <c r="D17" s="424"/>
      <c r="E17" s="424"/>
      <c r="F17" s="424"/>
      <c r="G17" s="425"/>
    </row>
    <row r="18" spans="1:7">
      <c r="A18" s="434"/>
      <c r="B18" s="424"/>
      <c r="C18" s="424"/>
      <c r="D18" s="424"/>
      <c r="E18" s="424"/>
      <c r="F18" s="424"/>
      <c r="G18" s="425"/>
    </row>
    <row r="19" spans="1:7">
      <c r="A19" s="434" t="s">
        <v>932</v>
      </c>
      <c r="B19" s="426">
        <f>35%</f>
        <v>0.35</v>
      </c>
      <c r="C19" s="424"/>
      <c r="D19" s="424"/>
      <c r="E19" s="424"/>
      <c r="F19" s="424"/>
      <c r="G19" s="425"/>
    </row>
    <row r="20" spans="1:7">
      <c r="A20" s="434" t="s">
        <v>660</v>
      </c>
      <c r="B20" s="424"/>
      <c r="C20" s="427">
        <v>0.08</v>
      </c>
      <c r="D20" s="427">
        <v>0.08</v>
      </c>
      <c r="E20" s="427">
        <v>0.08</v>
      </c>
      <c r="F20" s="427">
        <v>0.08</v>
      </c>
      <c r="G20" s="428">
        <v>0.08</v>
      </c>
    </row>
    <row r="21" spans="1:7">
      <c r="A21" s="434" t="s">
        <v>661</v>
      </c>
      <c r="B21" s="424"/>
      <c r="C21" s="427">
        <v>0.12</v>
      </c>
      <c r="D21" s="427">
        <v>0.12</v>
      </c>
      <c r="E21" s="427">
        <v>0.12</v>
      </c>
      <c r="F21" s="427">
        <v>0.12</v>
      </c>
      <c r="G21" s="428">
        <v>0.12</v>
      </c>
    </row>
    <row r="22" spans="1:7">
      <c r="A22" s="434"/>
      <c r="B22" s="424"/>
      <c r="C22" s="424"/>
      <c r="D22" s="424"/>
      <c r="E22" s="424"/>
      <c r="F22" s="424"/>
      <c r="G22" s="425"/>
    </row>
    <row r="23" spans="1:7">
      <c r="A23" s="435" t="s">
        <v>612</v>
      </c>
      <c r="B23" s="422">
        <v>1.1000000000000001</v>
      </c>
      <c r="C23" s="424"/>
      <c r="D23" s="424"/>
      <c r="E23" s="424"/>
      <c r="F23" s="424"/>
      <c r="G23" s="425"/>
    </row>
    <row r="24" spans="1:7">
      <c r="A24" s="435" t="s">
        <v>613</v>
      </c>
      <c r="B24" s="427">
        <v>7.0000000000000007E-2</v>
      </c>
      <c r="C24" s="424"/>
      <c r="D24" s="424"/>
      <c r="E24" s="424"/>
      <c r="F24" s="424"/>
      <c r="G24" s="425"/>
    </row>
    <row r="25" spans="1:7">
      <c r="A25" s="435" t="s">
        <v>614</v>
      </c>
      <c r="B25" s="427">
        <v>5.5E-2</v>
      </c>
      <c r="C25" s="424"/>
      <c r="D25" s="424"/>
      <c r="E25" s="424"/>
      <c r="F25" s="424"/>
      <c r="G25" s="425"/>
    </row>
    <row r="26" spans="1:7">
      <c r="A26" s="435" t="s">
        <v>615</v>
      </c>
      <c r="B26" s="427">
        <v>0.06</v>
      </c>
      <c r="C26" s="424"/>
      <c r="D26" s="424"/>
      <c r="E26" s="424"/>
      <c r="F26" s="424"/>
      <c r="G26" s="425"/>
    </row>
    <row r="27" spans="1:7">
      <c r="A27" s="434"/>
      <c r="B27" s="424"/>
      <c r="C27" s="424"/>
      <c r="D27" s="424"/>
      <c r="E27" s="424"/>
      <c r="F27" s="424"/>
      <c r="G27" s="425"/>
    </row>
    <row r="28" spans="1:7">
      <c r="A28" s="433" t="s">
        <v>615</v>
      </c>
      <c r="B28" s="427">
        <v>0.05</v>
      </c>
      <c r="C28" s="424"/>
      <c r="D28" s="424"/>
      <c r="E28" s="424"/>
      <c r="F28" s="424"/>
      <c r="G28" s="425"/>
    </row>
    <row r="29" spans="1:7">
      <c r="A29" s="434"/>
      <c r="B29" s="424"/>
      <c r="C29" s="424"/>
      <c r="D29" s="424"/>
      <c r="E29" s="424"/>
      <c r="F29" s="424"/>
      <c r="G29" s="425"/>
    </row>
    <row r="30" spans="1:7">
      <c r="A30" s="435" t="s">
        <v>701</v>
      </c>
      <c r="B30" s="422">
        <v>1</v>
      </c>
      <c r="C30" s="424"/>
      <c r="D30" s="424"/>
      <c r="E30" s="424"/>
      <c r="F30" s="424"/>
      <c r="G30" s="425"/>
    </row>
    <row r="31" spans="1:7">
      <c r="A31" s="435" t="s">
        <v>702</v>
      </c>
      <c r="B31" s="427">
        <v>0.1</v>
      </c>
      <c r="C31" s="424"/>
      <c r="D31" s="424"/>
      <c r="E31" s="424"/>
      <c r="F31" s="424"/>
      <c r="G31" s="425"/>
    </row>
    <row r="32" spans="1:7">
      <c r="A32" s="436" t="s">
        <v>703</v>
      </c>
      <c r="B32" s="429">
        <v>0.08</v>
      </c>
      <c r="C32" s="402"/>
      <c r="D32" s="402"/>
      <c r="E32" s="402"/>
      <c r="F32" s="402"/>
      <c r="G32" s="430"/>
    </row>
  </sheetData>
  <mergeCells count="1">
    <mergeCell ref="A1:C1"/>
  </mergeCells>
  <phoneticPr fontId="139" type="noConversion"/>
  <pageMargins left="0.7" right="0.7" top="0.75" bottom="0.75" header="0.3" footer="0.3"/>
  <pageSetup paperSize="9" scale="92"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50"/>
  <sheetViews>
    <sheetView zoomScale="125" zoomScaleNormal="125" zoomScalePageLayoutView="125" workbookViewId="0">
      <selection activeCell="B4" sqref="B4"/>
    </sheetView>
  </sheetViews>
  <sheetFormatPr defaultColWidth="8.85546875" defaultRowHeight="12.75"/>
  <cols>
    <col min="1" max="1" width="29.42578125" customWidth="1"/>
    <col min="2" max="6" width="11.42578125" customWidth="1"/>
    <col min="7" max="7" width="4" customWidth="1"/>
    <col min="8" max="8" width="70.140625" style="11" customWidth="1"/>
  </cols>
  <sheetData>
    <row r="1" spans="1:8" ht="15">
      <c r="A1" s="1383" t="s">
        <v>1374</v>
      </c>
      <c r="B1" s="1384"/>
    </row>
    <row r="4" spans="1:8">
      <c r="A4" t="s">
        <v>654</v>
      </c>
      <c r="B4" s="877">
        <f>'Other input data'!B19</f>
        <v>0.35</v>
      </c>
    </row>
    <row r="5" spans="1:8" ht="13.5" thickBot="1"/>
    <row r="6" spans="1:8" ht="15">
      <c r="A6" s="857"/>
      <c r="B6" s="663" t="s">
        <v>728</v>
      </c>
      <c r="C6" s="663" t="s">
        <v>727</v>
      </c>
      <c r="D6" s="663" t="s">
        <v>1317</v>
      </c>
      <c r="E6" s="663" t="s">
        <v>1318</v>
      </c>
      <c r="F6" s="663" t="s">
        <v>372</v>
      </c>
    </row>
    <row r="7" spans="1:8" ht="15">
      <c r="A7" s="858"/>
      <c r="B7" s="864"/>
      <c r="C7" s="864"/>
      <c r="D7" s="864"/>
      <c r="E7" s="864"/>
      <c r="F7" s="864"/>
    </row>
    <row r="8" spans="1:8">
      <c r="A8" s="859" t="s">
        <v>655</v>
      </c>
      <c r="B8" s="865">
        <f>'Ratios '!C12</f>
        <v>0.72705743469403916</v>
      </c>
      <c r="C8" s="865">
        <f>'Ratios '!D12</f>
        <v>0.69674081174194524</v>
      </c>
      <c r="D8" s="865">
        <f>'Ratios '!E12</f>
        <v>0.297562999125637</v>
      </c>
      <c r="E8" s="865">
        <f>'Ratios '!F12</f>
        <v>0.15064192622081463</v>
      </c>
      <c r="F8" s="865">
        <f>'Ratios '!G12</f>
        <v>0.10007602277605486</v>
      </c>
    </row>
    <row r="9" spans="1:8">
      <c r="A9" s="858"/>
      <c r="B9" s="866"/>
      <c r="C9" s="866"/>
      <c r="D9" s="866"/>
      <c r="E9" s="866"/>
      <c r="F9" s="866"/>
    </row>
    <row r="10" spans="1:8">
      <c r="A10" s="858" t="s">
        <v>734</v>
      </c>
      <c r="B10" s="867">
        <f>'Income Statement'!C31</f>
        <v>-53040</v>
      </c>
      <c r="C10" s="867">
        <f>'Income Statement'!D31</f>
        <v>9559</v>
      </c>
      <c r="D10" s="867">
        <f>'Income Statement'!E31</f>
        <v>460870</v>
      </c>
      <c r="E10" s="867">
        <f>'Income Statement'!F31</f>
        <v>631429</v>
      </c>
      <c r="F10" s="867">
        <f>'Income Statement'!G31</f>
        <v>1202234</v>
      </c>
    </row>
    <row r="11" spans="1:8">
      <c r="A11" s="858" t="s">
        <v>390</v>
      </c>
      <c r="B11" s="868">
        <f>-'Income Statement'!C48</f>
        <v>11124</v>
      </c>
      <c r="C11" s="868">
        <f>-'Income Statement'!D48</f>
        <v>10767.85</v>
      </c>
      <c r="D11" s="868">
        <f>-'Income Statement'!E48</f>
        <v>7904</v>
      </c>
      <c r="E11" s="868">
        <f>-'Income Statement'!F48</f>
        <v>4901</v>
      </c>
      <c r="F11" s="868">
        <f>-'Income Statement'!G48</f>
        <v>1747</v>
      </c>
    </row>
    <row r="12" spans="1:8">
      <c r="A12" s="858" t="s">
        <v>656</v>
      </c>
      <c r="B12" s="867">
        <f>B10-B11</f>
        <v>-64164</v>
      </c>
      <c r="C12" s="867">
        <f>C10-C11</f>
        <v>-1208.8500000000004</v>
      </c>
      <c r="D12" s="867">
        <f>D10-D11</f>
        <v>452966</v>
      </c>
      <c r="E12" s="867">
        <f>E10-E11</f>
        <v>626528</v>
      </c>
      <c r="F12" s="867">
        <f>F10-F11</f>
        <v>1200487</v>
      </c>
    </row>
    <row r="13" spans="1:8" ht="25.5">
      <c r="A13" s="860" t="s">
        <v>1012</v>
      </c>
      <c r="B13" s="869">
        <f>$B$4*B12</f>
        <v>-22457.399999999998</v>
      </c>
      <c r="C13" s="869">
        <f>$B$4*C12</f>
        <v>-423.09750000000008</v>
      </c>
      <c r="D13" s="869">
        <f>$B$4*D12</f>
        <v>158538.09999999998</v>
      </c>
      <c r="E13" s="869">
        <f>$B$4*E12</f>
        <v>219284.8</v>
      </c>
      <c r="F13" s="869">
        <f>$B$4*F12</f>
        <v>420170.44999999995</v>
      </c>
      <c r="H13" s="848" t="s">
        <v>935</v>
      </c>
    </row>
    <row r="14" spans="1:8">
      <c r="A14" s="858" t="s">
        <v>657</v>
      </c>
      <c r="B14" s="867">
        <f>B12-B13</f>
        <v>-41706.600000000006</v>
      </c>
      <c r="C14" s="867">
        <f>C12-C13</f>
        <v>-785.75250000000028</v>
      </c>
      <c r="D14" s="867">
        <f>D12-D13</f>
        <v>294427.90000000002</v>
      </c>
      <c r="E14" s="867">
        <f>E12-E13</f>
        <v>407243.2</v>
      </c>
      <c r="F14" s="867">
        <f>F12-F13</f>
        <v>780316.55</v>
      </c>
    </row>
    <row r="15" spans="1:8">
      <c r="A15" s="858" t="s">
        <v>658</v>
      </c>
      <c r="B15" s="867">
        <f>B14</f>
        <v>-41706.600000000006</v>
      </c>
      <c r="C15" s="867">
        <f>C14</f>
        <v>-785.75250000000028</v>
      </c>
      <c r="D15" s="867">
        <f>D14</f>
        <v>294427.90000000002</v>
      </c>
      <c r="E15" s="867">
        <f>E14</f>
        <v>407243.2</v>
      </c>
      <c r="F15" s="867">
        <f>F14</f>
        <v>780316.55</v>
      </c>
      <c r="H15" s="848" t="s">
        <v>936</v>
      </c>
    </row>
    <row r="16" spans="1:8">
      <c r="A16" s="858"/>
      <c r="B16" s="867"/>
      <c r="C16" s="867"/>
      <c r="D16" s="867"/>
      <c r="E16" s="867"/>
      <c r="F16" s="867"/>
    </row>
    <row r="17" spans="1:8">
      <c r="A17" s="861" t="s">
        <v>659</v>
      </c>
      <c r="B17" s="867">
        <f>B11+B15</f>
        <v>-30582.600000000006</v>
      </c>
      <c r="C17" s="867">
        <f>C11+C15</f>
        <v>9982.0974999999999</v>
      </c>
      <c r="D17" s="867">
        <f>D11+D15</f>
        <v>302331.90000000002</v>
      </c>
      <c r="E17" s="867">
        <f>E11+E15</f>
        <v>412144.2</v>
      </c>
      <c r="F17" s="867">
        <f>F11+F15</f>
        <v>782063.55</v>
      </c>
    </row>
    <row r="18" spans="1:8">
      <c r="A18" s="858"/>
      <c r="B18" s="867"/>
      <c r="C18" s="867"/>
      <c r="D18" s="867"/>
      <c r="E18" s="867"/>
      <c r="F18" s="867"/>
    </row>
    <row r="19" spans="1:8" ht="38.25">
      <c r="A19" s="858" t="s">
        <v>660</v>
      </c>
      <c r="B19" s="875">
        <f>'Other input data'!C20</f>
        <v>0.08</v>
      </c>
      <c r="C19" s="875">
        <f>'Other input data'!D20</f>
        <v>0.08</v>
      </c>
      <c r="D19" s="875">
        <f>'Other input data'!E20</f>
        <v>0.08</v>
      </c>
      <c r="E19" s="875">
        <f>'Other input data'!F20</f>
        <v>0.08</v>
      </c>
      <c r="F19" s="875">
        <f>'Other input data'!G20</f>
        <v>0.08</v>
      </c>
      <c r="H19" s="848" t="s">
        <v>933</v>
      </c>
    </row>
    <row r="20" spans="1:8" ht="25.5">
      <c r="A20" s="858" t="s">
        <v>661</v>
      </c>
      <c r="B20" s="876">
        <f>'Other input data'!C21</f>
        <v>0.12</v>
      </c>
      <c r="C20" s="876">
        <f>'Other input data'!D21</f>
        <v>0.12</v>
      </c>
      <c r="D20" s="876">
        <f>'Other input data'!E21</f>
        <v>0.12</v>
      </c>
      <c r="E20" s="876">
        <f>'Other input data'!F21</f>
        <v>0.12</v>
      </c>
      <c r="F20" s="876">
        <f>'Other input data'!G21</f>
        <v>0.12</v>
      </c>
      <c r="H20" s="848" t="s">
        <v>934</v>
      </c>
    </row>
    <row r="21" spans="1:8" ht="38.25">
      <c r="A21" s="858" t="s">
        <v>662</v>
      </c>
      <c r="B21" s="867">
        <f>B11/B19</f>
        <v>139050</v>
      </c>
      <c r="C21" s="867">
        <f>C11/C19</f>
        <v>134598.125</v>
      </c>
      <c r="D21" s="867">
        <f>D11/D19</f>
        <v>98800</v>
      </c>
      <c r="E21" s="867">
        <f>E11/E19</f>
        <v>61262.5</v>
      </c>
      <c r="F21" s="867">
        <f>F11/F19</f>
        <v>21837.5</v>
      </c>
      <c r="H21" s="848" t="s">
        <v>937</v>
      </c>
    </row>
    <row r="22" spans="1:8" ht="51">
      <c r="A22" s="858" t="s">
        <v>663</v>
      </c>
      <c r="B22" s="867">
        <f>B15/B20</f>
        <v>-347555.00000000006</v>
      </c>
      <c r="C22" s="867">
        <f>C15/C20</f>
        <v>-6547.9375000000027</v>
      </c>
      <c r="D22" s="867">
        <f>D15/D20</f>
        <v>2453565.8333333335</v>
      </c>
      <c r="E22" s="867">
        <f>E15/E20</f>
        <v>3393693.3333333335</v>
      </c>
      <c r="F22" s="867">
        <f>F15/F20</f>
        <v>6502637.916666667</v>
      </c>
      <c r="H22" s="848" t="s">
        <v>939</v>
      </c>
    </row>
    <row r="23" spans="1:8">
      <c r="A23" s="858" t="s">
        <v>664</v>
      </c>
      <c r="B23" s="867">
        <f>B21+B22</f>
        <v>-208505.00000000006</v>
      </c>
      <c r="C23" s="867">
        <f>C21+C22</f>
        <v>128050.1875</v>
      </c>
      <c r="D23" s="867">
        <f>D21+D22</f>
        <v>2552365.8333333335</v>
      </c>
      <c r="E23" s="867">
        <f>E21+E22</f>
        <v>3454955.8333333335</v>
      </c>
      <c r="F23" s="867">
        <f>F21+F22</f>
        <v>6524475.416666667</v>
      </c>
    </row>
    <row r="24" spans="1:8">
      <c r="A24" s="858"/>
      <c r="B24" s="867"/>
      <c r="C24" s="867"/>
      <c r="D24" s="867"/>
      <c r="E24" s="867"/>
      <c r="F24" s="867"/>
    </row>
    <row r="25" spans="1:8" ht="38.25">
      <c r="A25" s="858" t="s">
        <v>665</v>
      </c>
      <c r="B25" s="867">
        <f>'Balance Sheet'!C66</f>
        <v>201084</v>
      </c>
      <c r="C25" s="867">
        <f>'Balance Sheet'!D66</f>
        <v>164234.59201019825</v>
      </c>
      <c r="D25" s="867">
        <f>'Balance Sheet'!E66</f>
        <v>182624.50222864124</v>
      </c>
      <c r="E25" s="867">
        <f>'Balance Sheet'!F66</f>
        <v>138053.68229232688</v>
      </c>
      <c r="F25" s="867">
        <f>'Balance Sheet'!G66</f>
        <v>155265.55467754099</v>
      </c>
      <c r="H25" s="848" t="s">
        <v>938</v>
      </c>
    </row>
    <row r="26" spans="1:8">
      <c r="A26" s="858" t="s">
        <v>666</v>
      </c>
      <c r="B26" s="867">
        <f>'Balance Sheet'!C41-'Balance Sheet'!C66</f>
        <v>76762</v>
      </c>
      <c r="C26" s="867">
        <f>'Balance Sheet'!D41-'Balance Sheet'!D66</f>
        <v>81849.158389801742</v>
      </c>
      <c r="D26" s="867">
        <f>'Balance Sheet'!E41-'Balance Sheet'!E66</f>
        <v>512634.9985713588</v>
      </c>
      <c r="E26" s="867">
        <f>'Balance Sheet'!F41-'Balance Sheet'!F66</f>
        <v>1100709.5689076732</v>
      </c>
      <c r="F26" s="867">
        <f>'Balance Sheet'!G41-'Balance Sheet'!G66</f>
        <v>2214478.4469224592</v>
      </c>
      <c r="H26" s="856"/>
    </row>
    <row r="27" spans="1:8">
      <c r="A27" s="858" t="s">
        <v>667</v>
      </c>
      <c r="B27" s="870">
        <f>B25+B26</f>
        <v>277846</v>
      </c>
      <c r="C27" s="870">
        <f>C25+C26</f>
        <v>246083.75039999999</v>
      </c>
      <c r="D27" s="870">
        <f>D25+D26</f>
        <v>695259.50080000004</v>
      </c>
      <c r="E27" s="870">
        <f>E25+E26</f>
        <v>1238763.2512000001</v>
      </c>
      <c r="F27" s="870">
        <f>F25+F26</f>
        <v>2369744.0016000001</v>
      </c>
      <c r="H27" s="848" t="s">
        <v>940</v>
      </c>
    </row>
    <row r="28" spans="1:8">
      <c r="A28" s="858"/>
      <c r="B28" s="870"/>
      <c r="C28" s="870"/>
      <c r="D28" s="870"/>
      <c r="E28" s="870"/>
      <c r="F28" s="870"/>
      <c r="H28" s="856"/>
    </row>
    <row r="29" spans="1:8">
      <c r="A29" s="858" t="s">
        <v>668</v>
      </c>
      <c r="B29" s="871">
        <f>B10*(1-$B$4)/B27</f>
        <v>-0.1240831251844547</v>
      </c>
      <c r="C29" s="871">
        <f>C10*(1-$B$4)/C27</f>
        <v>2.5248924359696365E-2</v>
      </c>
      <c r="D29" s="871">
        <f>D10*(1-$B$4)/D27</f>
        <v>0.43086861762450579</v>
      </c>
      <c r="E29" s="871">
        <f>E10*(1-$B$4)/E27</f>
        <v>0.33132146082184327</v>
      </c>
      <c r="F29" s="871">
        <f>F10*(1-$B$4)/F27</f>
        <v>0.32976224413792393</v>
      </c>
      <c r="H29" s="848" t="s">
        <v>941</v>
      </c>
    </row>
    <row r="30" spans="1:8">
      <c r="A30" s="858" t="s">
        <v>669</v>
      </c>
      <c r="B30" s="871">
        <f>B15/B26</f>
        <v>-0.54332351944972779</v>
      </c>
      <c r="C30" s="871">
        <f>C15/C26</f>
        <v>-9.6000070795829173E-3</v>
      </c>
      <c r="D30" s="871">
        <f>D15/D26</f>
        <v>0.57434217488179484</v>
      </c>
      <c r="E30" s="871">
        <f>E15/E26</f>
        <v>0.3699824290654089</v>
      </c>
      <c r="F30" s="871">
        <f>F15/F26</f>
        <v>0.3523703520729381</v>
      </c>
      <c r="H30" s="848" t="s">
        <v>942</v>
      </c>
    </row>
    <row r="31" spans="1:8">
      <c r="A31" s="858"/>
      <c r="B31" s="871"/>
      <c r="C31" s="871"/>
      <c r="D31" s="871"/>
      <c r="E31" s="871"/>
      <c r="F31" s="871"/>
      <c r="H31" s="856"/>
    </row>
    <row r="32" spans="1:8">
      <c r="A32" s="1149" t="s">
        <v>670</v>
      </c>
      <c r="B32" s="867">
        <f>'Price-BV'!B7</f>
        <v>1000</v>
      </c>
      <c r="C32" s="867">
        <f>'Price-BV'!C7</f>
        <v>1000</v>
      </c>
      <c r="D32" s="867">
        <f>'Price-BV'!D7</f>
        <v>1000</v>
      </c>
      <c r="E32" s="867">
        <f>'Price-BV'!E7</f>
        <v>1000</v>
      </c>
      <c r="F32" s="867">
        <f>'Price-BV'!F7</f>
        <v>1000</v>
      </c>
    </row>
    <row r="33" spans="1:8">
      <c r="A33" s="858" t="s">
        <v>671</v>
      </c>
      <c r="B33" s="872">
        <f>B22/B32</f>
        <v>-347.55500000000006</v>
      </c>
      <c r="C33" s="872">
        <f>(C22+C21-B21)/B32</f>
        <v>-10.999812500000001</v>
      </c>
      <c r="D33" s="872">
        <f>D23/$B$32</f>
        <v>2552.3658333333333</v>
      </c>
      <c r="E33" s="872">
        <f>E23/$B$32</f>
        <v>3454.9558333333334</v>
      </c>
      <c r="F33" s="872">
        <f>F23/$B$32</f>
        <v>6524.4754166666671</v>
      </c>
    </row>
    <row r="34" spans="1:8">
      <c r="A34" s="858" t="s">
        <v>672</v>
      </c>
      <c r="B34" s="873">
        <f>B14/B32</f>
        <v>-41.706600000000009</v>
      </c>
      <c r="C34" s="873">
        <f>C14/C32</f>
        <v>-0.7857525000000003</v>
      </c>
      <c r="D34" s="873">
        <f>D14/D32</f>
        <v>294.42790000000002</v>
      </c>
      <c r="E34" s="873">
        <f>E14/E32</f>
        <v>407.2432</v>
      </c>
      <c r="F34" s="873">
        <f>F14/F32</f>
        <v>780.31655000000001</v>
      </c>
    </row>
    <row r="35" spans="1:8">
      <c r="A35" s="858" t="s">
        <v>673</v>
      </c>
      <c r="B35" s="873">
        <f>B33/B34</f>
        <v>8.3333333333333339</v>
      </c>
      <c r="C35" s="873">
        <f>C33/C34</f>
        <v>13.999080499266622</v>
      </c>
      <c r="D35" s="873">
        <f>D33/D34</f>
        <v>8.6688993581563878</v>
      </c>
      <c r="E35" s="873">
        <f>E33/E34</f>
        <v>8.4837655566338093</v>
      </c>
      <c r="F35" s="873">
        <f>F33/F34</f>
        <v>8.3613187707817644</v>
      </c>
    </row>
    <row r="36" spans="1:8">
      <c r="A36" s="858"/>
      <c r="B36" s="873"/>
      <c r="C36" s="867"/>
      <c r="D36" s="867"/>
      <c r="E36" s="867"/>
      <c r="F36" s="867"/>
    </row>
    <row r="37" spans="1:8">
      <c r="A37" s="858" t="s">
        <v>674</v>
      </c>
      <c r="B37" s="871">
        <f>B25/B27</f>
        <v>0.72372465322516788</v>
      </c>
      <c r="C37" s="871">
        <f>C25/C27</f>
        <v>0.66739307956433946</v>
      </c>
      <c r="D37" s="871">
        <f>D25/D27</f>
        <v>0.26267099121767401</v>
      </c>
      <c r="E37" s="871">
        <f>E25/E27</f>
        <v>0.1114447673182048</v>
      </c>
      <c r="F37" s="871">
        <f>F25/F27</f>
        <v>6.5519969487298643E-2</v>
      </c>
    </row>
    <row r="38" spans="1:8">
      <c r="A38" s="862" t="s">
        <v>675</v>
      </c>
      <c r="B38" s="871">
        <f>B21/B23</f>
        <v>-0.66689048224263192</v>
      </c>
      <c r="C38" s="871">
        <f>C21/C23</f>
        <v>1.0511357119254512</v>
      </c>
      <c r="D38" s="871">
        <f>D21/D23</f>
        <v>3.8709184518023965E-2</v>
      </c>
      <c r="E38" s="871">
        <f>E21/E23</f>
        <v>1.7731775152938521E-2</v>
      </c>
      <c r="F38" s="871">
        <f>F21/F23</f>
        <v>3.347012381135878E-3</v>
      </c>
    </row>
    <row r="39" spans="1:8">
      <c r="A39" s="858"/>
      <c r="B39" s="871"/>
      <c r="C39" s="871"/>
      <c r="D39" s="871"/>
      <c r="E39" s="871"/>
      <c r="F39" s="871"/>
    </row>
    <row r="40" spans="1:8" ht="25.5">
      <c r="A40" s="858" t="s">
        <v>676</v>
      </c>
      <c r="B40" s="1255">
        <f>(1-B38)*B20+B38*(1-$B$4)*B19</f>
        <v>0.16534855279249897</v>
      </c>
      <c r="C40" s="871">
        <f>(1-C38)*C20+C38*(1-$B$4)*C19</f>
        <v>4.852277158906932E-2</v>
      </c>
      <c r="D40" s="871">
        <f>(1-D38)*D20+D38*(1-$B$4)*D19</f>
        <v>0.11736777545277437</v>
      </c>
      <c r="E40" s="871">
        <f>(1-E38)*E20+E38*(1-$B$4)*E19</f>
        <v>0.11879423928960017</v>
      </c>
      <c r="F40" s="871">
        <f>(1-F38)*F20+F38*(1-$B$4)*F19</f>
        <v>0.11977240315808275</v>
      </c>
      <c r="H40" s="848" t="s">
        <v>944</v>
      </c>
    </row>
    <row r="41" spans="1:8">
      <c r="A41" s="858" t="s">
        <v>677</v>
      </c>
      <c r="B41" s="867">
        <f>B10*(1-$B$4)</f>
        <v>-34476</v>
      </c>
      <c r="C41" s="867">
        <f>C10*(1-$B$4)</f>
        <v>6213.35</v>
      </c>
      <c r="D41" s="867">
        <f>D10*(1-$B$4)</f>
        <v>299565.5</v>
      </c>
      <c r="E41" s="867">
        <f>E10*(1-$B$4)</f>
        <v>410428.85000000003</v>
      </c>
      <c r="F41" s="867">
        <f>F10*(1-$B$4)</f>
        <v>781452.1</v>
      </c>
    </row>
    <row r="42" spans="1:8" ht="39" thickBot="1">
      <c r="A42" s="863" t="s">
        <v>664</v>
      </c>
      <c r="B42" s="874">
        <f>B41/B40</f>
        <v>-208505.00000000003</v>
      </c>
      <c r="C42" s="874">
        <f>C41/C40</f>
        <v>128050.18750000001</v>
      </c>
      <c r="D42" s="874">
        <f>D41/D40</f>
        <v>2552365.8333333335</v>
      </c>
      <c r="E42" s="874">
        <f>E41/E40</f>
        <v>3454955.833333334</v>
      </c>
      <c r="F42" s="874">
        <f>F41/F40</f>
        <v>6524475.416666667</v>
      </c>
      <c r="H42" s="848" t="s">
        <v>943</v>
      </c>
    </row>
    <row r="44" spans="1:8">
      <c r="A44" t="s">
        <v>678</v>
      </c>
    </row>
    <row r="45" spans="1:8">
      <c r="A45" t="s">
        <v>679</v>
      </c>
    </row>
    <row r="46" spans="1:8">
      <c r="A46" t="s">
        <v>680</v>
      </c>
    </row>
    <row r="47" spans="1:8">
      <c r="A47" t="s">
        <v>681</v>
      </c>
    </row>
    <row r="48" spans="1:8">
      <c r="A48" t="s">
        <v>682</v>
      </c>
    </row>
    <row r="49" spans="1:1">
      <c r="A49" t="s">
        <v>683</v>
      </c>
    </row>
    <row r="50" spans="1:1">
      <c r="A50" t="s">
        <v>684</v>
      </c>
    </row>
  </sheetData>
  <mergeCells count="1">
    <mergeCell ref="A1:B1"/>
  </mergeCells>
  <phoneticPr fontId="139" type="noConversion"/>
  <pageMargins left="0.7" right="0.7" top="0.75" bottom="0.75" header="0.3" footer="0.3"/>
  <pageSetup paperSize="9" scale="55" orientation="portrait"/>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123"/>
  <sheetViews>
    <sheetView topLeftCell="A101" zoomScale="110" zoomScaleNormal="110" zoomScalePageLayoutView="110" workbookViewId="0">
      <selection activeCell="C122" sqref="C122"/>
    </sheetView>
  </sheetViews>
  <sheetFormatPr defaultColWidth="8.85546875" defaultRowHeight="12.75"/>
  <cols>
    <col min="1" max="1" width="22.42578125" customWidth="1"/>
    <col min="2" max="2" width="22.85546875" customWidth="1"/>
    <col min="3" max="3" width="12.28515625" customWidth="1"/>
    <col min="4" max="4" width="12.28515625" bestFit="1" customWidth="1"/>
    <col min="5" max="5" width="11.42578125" customWidth="1"/>
    <col min="6" max="6" width="11.7109375" bestFit="1" customWidth="1"/>
    <col min="7" max="7" width="11.42578125" customWidth="1"/>
    <col min="8" max="8" width="12.42578125" bestFit="1" customWidth="1"/>
    <col min="9" max="9" width="10.7109375" customWidth="1"/>
    <col min="10" max="10" width="10.7109375" bestFit="1" customWidth="1"/>
    <col min="11" max="11" width="6.140625" customWidth="1"/>
  </cols>
  <sheetData>
    <row r="1" spans="1:5" ht="15">
      <c r="A1" s="1383" t="s">
        <v>1290</v>
      </c>
      <c r="B1" s="1384"/>
      <c r="C1" s="1384"/>
    </row>
    <row r="3" spans="1:5">
      <c r="A3" s="127" t="s">
        <v>1736</v>
      </c>
    </row>
    <row r="5" spans="1:5">
      <c r="A5" s="127" t="s">
        <v>1291</v>
      </c>
    </row>
    <row r="6" spans="1:5">
      <c r="A6" s="128" t="s">
        <v>1292</v>
      </c>
    </row>
    <row r="8" spans="1:5">
      <c r="A8" s="135" t="s">
        <v>1293</v>
      </c>
    </row>
    <row r="9" spans="1:5">
      <c r="A9" s="129"/>
    </row>
    <row r="10" spans="1:5">
      <c r="A10" s="129"/>
      <c r="E10" s="184"/>
    </row>
    <row r="11" spans="1:5">
      <c r="A11" s="129"/>
      <c r="E11" s="184"/>
    </row>
    <row r="12" spans="1:5">
      <c r="A12" s="129"/>
    </row>
    <row r="14" spans="1:5">
      <c r="A14" s="134" t="s">
        <v>1294</v>
      </c>
    </row>
    <row r="15" spans="1:5">
      <c r="A15" s="130" t="s">
        <v>1295</v>
      </c>
      <c r="B15" s="21" t="s">
        <v>1296</v>
      </c>
    </row>
    <row r="16" spans="1:5" ht="15">
      <c r="A16" s="130" t="s">
        <v>1297</v>
      </c>
      <c r="B16" s="21" t="s">
        <v>1298</v>
      </c>
    </row>
    <row r="17" spans="1:8" ht="15">
      <c r="A17" s="131" t="s">
        <v>1299</v>
      </c>
      <c r="B17" s="21" t="s">
        <v>1300</v>
      </c>
      <c r="H17" s="187"/>
    </row>
    <row r="18" spans="1:8">
      <c r="A18" s="130" t="s">
        <v>1301</v>
      </c>
      <c r="B18" s="21" t="s">
        <v>1302</v>
      </c>
    </row>
    <row r="19" spans="1:8" ht="20.25">
      <c r="A19" s="175"/>
    </row>
    <row r="20" spans="1:8" ht="15">
      <c r="A20" s="1383" t="s">
        <v>1370</v>
      </c>
      <c r="B20" s="1384"/>
      <c r="C20" s="1384"/>
    </row>
    <row r="22" spans="1:8">
      <c r="A22" s="176" t="s">
        <v>378</v>
      </c>
      <c r="B22" s="21" t="s">
        <v>379</v>
      </c>
    </row>
    <row r="23" spans="1:8">
      <c r="A23" s="134"/>
      <c r="B23" t="s">
        <v>380</v>
      </c>
    </row>
    <row r="24" spans="1:8">
      <c r="A24" s="134"/>
    </row>
    <row r="26" spans="1:8" ht="15">
      <c r="A26" s="1391" t="s">
        <v>1136</v>
      </c>
      <c r="B26" s="1391"/>
      <c r="C26" s="105" t="s">
        <v>1137</v>
      </c>
    </row>
    <row r="27" spans="1:8" ht="15">
      <c r="A27" s="193"/>
      <c r="B27" s="193"/>
      <c r="C27" s="105"/>
    </row>
    <row r="28" spans="1:8">
      <c r="A28" s="194" t="s">
        <v>1138</v>
      </c>
      <c r="B28" s="202">
        <f>'Other input data'!B7</f>
        <v>9.1899999999999996E-2</v>
      </c>
      <c r="C28" s="196"/>
    </row>
    <row r="29" spans="1:8">
      <c r="A29" s="194" t="s">
        <v>1139</v>
      </c>
      <c r="B29" s="202">
        <f>'Other input data'!B8</f>
        <v>3.1899999999999998E-2</v>
      </c>
      <c r="C29" s="196"/>
    </row>
    <row r="30" spans="1:8">
      <c r="A30" s="194" t="s">
        <v>1140</v>
      </c>
      <c r="B30" s="202">
        <f>'Other input data'!B9</f>
        <v>0.03</v>
      </c>
      <c r="C30" s="196"/>
    </row>
    <row r="31" spans="1:8">
      <c r="A31" s="197" t="s">
        <v>1141</v>
      </c>
      <c r="B31" s="198">
        <f>SUM(B28:B30)</f>
        <v>0.15379999999999999</v>
      </c>
      <c r="C31" s="105"/>
    </row>
    <row r="32" spans="1:8">
      <c r="A32" s="105"/>
      <c r="B32" s="133"/>
      <c r="H32" s="109"/>
    </row>
    <row r="33" spans="1:12" ht="21">
      <c r="A33" s="105"/>
      <c r="B33" s="203" t="s">
        <v>1151</v>
      </c>
    </row>
    <row r="34" spans="1:12" ht="18.75">
      <c r="A34" s="105"/>
      <c r="B34" s="203" t="s">
        <v>1147</v>
      </c>
    </row>
    <row r="35" spans="1:12">
      <c r="A35" s="67" t="s">
        <v>1294</v>
      </c>
      <c r="B35" s="133"/>
    </row>
    <row r="36" spans="1:12" ht="14.25">
      <c r="B36" s="204" t="s">
        <v>1148</v>
      </c>
    </row>
    <row r="37" spans="1:12">
      <c r="A37" s="105"/>
      <c r="B37" s="205"/>
    </row>
    <row r="38" spans="1:12" ht="14.25">
      <c r="A38" s="105"/>
      <c r="B38" s="204" t="s">
        <v>1149</v>
      </c>
    </row>
    <row r="39" spans="1:12" ht="14.25">
      <c r="A39" s="105"/>
      <c r="B39" s="206" t="s">
        <v>1150</v>
      </c>
    </row>
    <row r="40" spans="1:12">
      <c r="A40" s="105"/>
      <c r="B40" s="133"/>
    </row>
    <row r="41" spans="1:12">
      <c r="A41" s="105"/>
      <c r="B41" s="199" t="s">
        <v>1142</v>
      </c>
    </row>
    <row r="43" spans="1:12">
      <c r="A43" s="73" t="s">
        <v>1143</v>
      </c>
      <c r="B43" s="136">
        <f>AVERAGE('Ratios '!C29:G29)</f>
        <v>6.5962571981443615E-3</v>
      </c>
      <c r="L43" s="102"/>
    </row>
    <row r="44" spans="1:12" ht="30">
      <c r="C44" s="334" t="s">
        <v>728</v>
      </c>
      <c r="D44" s="334" t="s">
        <v>727</v>
      </c>
      <c r="E44" s="334" t="s">
        <v>1317</v>
      </c>
      <c r="F44" s="334" t="s">
        <v>1318</v>
      </c>
      <c r="G44" s="334" t="s">
        <v>372</v>
      </c>
      <c r="H44" s="342" t="s">
        <v>1570</v>
      </c>
      <c r="J44" s="186"/>
      <c r="K44" s="21"/>
    </row>
    <row r="45" spans="1:12" ht="15.6" customHeight="1">
      <c r="A45" s="1393" t="s">
        <v>376</v>
      </c>
      <c r="B45" s="21" t="s">
        <v>1569</v>
      </c>
      <c r="C45" s="174">
        <f>'Cash Flow Statement'!B23</f>
        <v>0</v>
      </c>
      <c r="D45" s="174">
        <f>'Cash Flow Statement'!C23</f>
        <v>49996.742010198242</v>
      </c>
      <c r="E45" s="174">
        <f>'Cash Flow Statement'!D23</f>
        <v>391687.91021844302</v>
      </c>
      <c r="F45" s="174">
        <f>'Cash Flow Statement'!E23</f>
        <v>509223.18006368564</v>
      </c>
      <c r="G45" s="174">
        <f>'Cash Flow Statement'!F23</f>
        <v>1073886.8723852141</v>
      </c>
      <c r="H45" s="343">
        <f>G45/(B31-B43)</f>
        <v>7295241.628677371</v>
      </c>
      <c r="J45" s="186"/>
      <c r="K45" s="21"/>
    </row>
    <row r="46" spans="1:12">
      <c r="A46" s="1393"/>
      <c r="C46" s="345" t="s">
        <v>1572</v>
      </c>
      <c r="D46" s="345"/>
      <c r="E46" s="345"/>
      <c r="F46" s="345"/>
      <c r="H46" s="21"/>
      <c r="I46" s="346">
        <f>C45/C47+D45/D47+E45/E47+F45/F47+G45/G47+H45/H47</f>
        <v>4672760.7260101084</v>
      </c>
    </row>
    <row r="47" spans="1:12">
      <c r="A47" s="1393"/>
      <c r="B47" t="s">
        <v>1571</v>
      </c>
      <c r="C47" s="149">
        <f>(1+B31)^1</f>
        <v>1.1537999999999999</v>
      </c>
      <c r="D47" s="35">
        <f>(1+B31)^2</f>
        <v>1.3312544399999999</v>
      </c>
      <c r="E47" s="35">
        <f>(1+B31)^3</f>
        <v>1.5360013728719999</v>
      </c>
      <c r="F47" s="35">
        <f>(1+B31)^4</f>
        <v>1.7722383840197133</v>
      </c>
      <c r="G47" s="35">
        <f>(1+B31)^5</f>
        <v>2.0448086474819451</v>
      </c>
      <c r="H47" s="35">
        <f>(1+B31)^5</f>
        <v>2.0448086474819451</v>
      </c>
    </row>
    <row r="48" spans="1:12" ht="12.75" customHeight="1"/>
    <row r="49" spans="1:4">
      <c r="A49" s="344"/>
    </row>
    <row r="50" spans="1:4" ht="20.25">
      <c r="A50" s="1383" t="s">
        <v>1371</v>
      </c>
      <c r="B50" s="1384"/>
      <c r="C50" s="1384"/>
      <c r="D50" s="175"/>
    </row>
    <row r="52" spans="1:4">
      <c r="A52" s="21" t="s">
        <v>1303</v>
      </c>
    </row>
    <row r="54" spans="1:4" ht="14.25">
      <c r="A54" s="21" t="s">
        <v>374</v>
      </c>
    </row>
    <row r="55" spans="1:4">
      <c r="A55" s="21"/>
    </row>
    <row r="56" spans="1:4">
      <c r="A56" s="1392" t="s">
        <v>375</v>
      </c>
      <c r="B56" s="1392"/>
      <c r="C56" s="133">
        <f>'Other input data'!B10</f>
        <v>0.21</v>
      </c>
    </row>
    <row r="57" spans="1:4" ht="15">
      <c r="A57" s="1395" t="s">
        <v>1305</v>
      </c>
      <c r="B57" s="1395"/>
      <c r="C57" s="136">
        <f>B31</f>
        <v>0.15379999999999999</v>
      </c>
    </row>
    <row r="58" spans="1:4" ht="15">
      <c r="A58" s="1391" t="s">
        <v>1144</v>
      </c>
      <c r="B58" s="1391"/>
      <c r="C58" s="21" t="s">
        <v>1573</v>
      </c>
    </row>
    <row r="59" spans="1:4" ht="15">
      <c r="A59" s="185"/>
      <c r="B59" s="185"/>
    </row>
    <row r="60" spans="1:4">
      <c r="A60" s="194" t="s">
        <v>1575</v>
      </c>
      <c r="B60" s="212">
        <f>'Other input data'!B11</f>
        <v>0.06</v>
      </c>
    </row>
    <row r="61" spans="1:4">
      <c r="A61" s="194" t="s">
        <v>1145</v>
      </c>
      <c r="B61" s="202">
        <f>'Other input data'!B8</f>
        <v>3.1899999999999998E-2</v>
      </c>
    </row>
    <row r="62" spans="1:4">
      <c r="A62" s="194" t="s">
        <v>1140</v>
      </c>
      <c r="B62" s="202">
        <f>'Other input data'!B9</f>
        <v>0.03</v>
      </c>
    </row>
    <row r="63" spans="1:4">
      <c r="A63" s="197" t="s">
        <v>1146</v>
      </c>
      <c r="B63" s="211">
        <f>SUM(B60:B62)</f>
        <v>0.12189999999999999</v>
      </c>
    </row>
    <row r="64" spans="1:4">
      <c r="C64" s="19"/>
      <c r="D64" s="136"/>
    </row>
    <row r="65" spans="1:9" ht="12.75" customHeight="1">
      <c r="B65" s="21"/>
      <c r="C65" s="101">
        <f>'Balance Sheet'!D47+'Balance Sheet'!C48</f>
        <v>10000</v>
      </c>
      <c r="D65" s="202">
        <f>C57</f>
        <v>0.15379999999999999</v>
      </c>
      <c r="E65" s="348">
        <f>'Balance Sheet'!C66</f>
        <v>201084</v>
      </c>
      <c r="F65" s="136">
        <f>B63</f>
        <v>0.12189999999999999</v>
      </c>
      <c r="G65" s="55">
        <f>1-C56</f>
        <v>0.79</v>
      </c>
      <c r="H65" s="171"/>
      <c r="I65" s="171"/>
    </row>
    <row r="66" spans="1:9" ht="15.75">
      <c r="B66" s="347" t="s">
        <v>1304</v>
      </c>
      <c r="C66" s="1392" t="s">
        <v>381</v>
      </c>
      <c r="D66" s="1392"/>
      <c r="E66" s="1392"/>
      <c r="F66" s="1392"/>
      <c r="G66" s="1392"/>
      <c r="H66" s="76">
        <f>(C65/C67)*D65+(E65/E67)*F65*G65</f>
        <v>9.9024986659339426E-2</v>
      </c>
    </row>
    <row r="67" spans="1:9">
      <c r="C67" s="101">
        <f>'Balance Sheet'!$C$47+'Balance Sheet'!$C$48+'Balance Sheet'!C66</f>
        <v>211084</v>
      </c>
      <c r="E67" s="101">
        <f>'Balance Sheet'!$C$47+'Balance Sheet'!$C$48+'Balance Sheet'!C66</f>
        <v>211084</v>
      </c>
    </row>
    <row r="68" spans="1:9">
      <c r="B68" s="19"/>
    </row>
    <row r="69" spans="1:9">
      <c r="B69" s="19"/>
    </row>
    <row r="70" spans="1:9">
      <c r="B70" s="19"/>
    </row>
    <row r="71" spans="1:9">
      <c r="B71" s="19"/>
    </row>
    <row r="72" spans="1:9" ht="21" customHeight="1">
      <c r="A72" s="105"/>
      <c r="B72" s="203" t="s">
        <v>1158</v>
      </c>
    </row>
    <row r="73" spans="1:9" ht="18.75">
      <c r="A73" s="105"/>
      <c r="B73" s="203" t="s">
        <v>1156</v>
      </c>
    </row>
    <row r="74" spans="1:9" ht="15.75">
      <c r="A74" s="67" t="s">
        <v>1294</v>
      </c>
      <c r="B74" s="203"/>
    </row>
    <row r="75" spans="1:9" ht="14.25">
      <c r="B75" s="204" t="s">
        <v>1152</v>
      </c>
    </row>
    <row r="76" spans="1:9">
      <c r="B76" s="204"/>
    </row>
    <row r="77" spans="1:9" ht="14.25">
      <c r="A77" s="105"/>
      <c r="B77" s="204" t="s">
        <v>1153</v>
      </c>
    </row>
    <row r="78" spans="1:9" ht="12.75" customHeight="1">
      <c r="A78" s="105"/>
      <c r="B78" s="204"/>
    </row>
    <row r="79" spans="1:9" ht="14.25">
      <c r="A79" s="105"/>
      <c r="B79" s="204" t="s">
        <v>1154</v>
      </c>
    </row>
    <row r="80" spans="1:9" ht="14.25" customHeight="1">
      <c r="A80" s="105"/>
      <c r="B80" s="206" t="s">
        <v>1155</v>
      </c>
    </row>
    <row r="81" spans="1:9">
      <c r="A81" s="105"/>
      <c r="B81" s="199" t="s">
        <v>1142</v>
      </c>
    </row>
    <row r="82" spans="1:9" ht="12.75" customHeight="1">
      <c r="B82" s="72"/>
    </row>
    <row r="83" spans="1:9">
      <c r="A83" s="200" t="s">
        <v>1143</v>
      </c>
      <c r="B83" s="207">
        <f>B43</f>
        <v>6.5962571981443615E-3</v>
      </c>
    </row>
    <row r="84" spans="1:9">
      <c r="D84" s="174">
        <f>'Cash Flow Statement'!B16-C85</f>
        <v>0</v>
      </c>
      <c r="E84" s="174">
        <f>'Cash Flow Statement'!C16</f>
        <v>99043</v>
      </c>
      <c r="F84" s="174">
        <f>'Cash Flow Statement'!D16</f>
        <v>478006</v>
      </c>
      <c r="G84" s="174">
        <f>F84*(1+B83)/(H66-B83)</f>
        <v>5205730.4403417576</v>
      </c>
    </row>
    <row r="85" spans="1:9" ht="15.75">
      <c r="B85" s="349" t="s">
        <v>377</v>
      </c>
      <c r="C85" s="201">
        <f>'Cash Flow Statement'!B16</f>
        <v>-329678</v>
      </c>
      <c r="D85" s="1394" t="s">
        <v>1157</v>
      </c>
      <c r="E85" s="1394"/>
      <c r="F85" s="1394"/>
      <c r="G85" s="1394"/>
      <c r="H85" s="350">
        <f>C85+D84/D86+E84/E86+F84/F86+G84/G86</f>
        <v>4033971.6958877253</v>
      </c>
      <c r="I85" s="21"/>
    </row>
    <row r="86" spans="1:9">
      <c r="D86" s="149">
        <f>(1+H66)^1</f>
        <v>1.0990249866593393</v>
      </c>
      <c r="E86" s="149">
        <f>(1+H66)^2</f>
        <v>1.2078559213015609</v>
      </c>
      <c r="F86" s="149">
        <f>(1+H66)^3</f>
        <v>1.327463837794852</v>
      </c>
      <c r="G86" s="35">
        <f>F86</f>
        <v>1.327463837794852</v>
      </c>
    </row>
    <row r="89" spans="1:9" ht="23.25">
      <c r="A89" s="1383" t="s">
        <v>1309</v>
      </c>
      <c r="B89" s="1384"/>
      <c r="C89" s="1384"/>
      <c r="D89" s="181"/>
    </row>
    <row r="92" spans="1:9">
      <c r="A92" s="117" t="s">
        <v>1306</v>
      </c>
    </row>
    <row r="93" spans="1:9">
      <c r="A93" s="208" t="s">
        <v>724</v>
      </c>
    </row>
    <row r="96" spans="1:9" ht="18.75">
      <c r="C96" s="132" t="s">
        <v>1307</v>
      </c>
    </row>
    <row r="98" spans="1:8">
      <c r="A98" s="21" t="s">
        <v>1166</v>
      </c>
    </row>
    <row r="99" spans="1:8">
      <c r="A99" s="21" t="s">
        <v>1308</v>
      </c>
    </row>
    <row r="102" spans="1:8">
      <c r="D102" s="173">
        <f>D84</f>
        <v>0</v>
      </c>
      <c r="E102" s="173">
        <f>E84</f>
        <v>99043</v>
      </c>
      <c r="F102" s="173">
        <f>F84</f>
        <v>478006</v>
      </c>
      <c r="G102" s="209">
        <f>F102*(1+B83)/(C106-B83)</f>
        <v>710527.96207941475</v>
      </c>
    </row>
    <row r="103" spans="1:8">
      <c r="B103" s="351" t="s">
        <v>1160</v>
      </c>
      <c r="C103" s="201">
        <f>C85</f>
        <v>-329678</v>
      </c>
      <c r="D103" t="s">
        <v>1157</v>
      </c>
      <c r="H103" s="352">
        <f>C103+D102/D104+E102/E104+F102/F104+G102/G104</f>
        <v>-45769.44934425212</v>
      </c>
    </row>
    <row r="104" spans="1:8">
      <c r="D104" s="149">
        <f>(1+C106)^1</f>
        <v>1.6837815</v>
      </c>
      <c r="E104" s="149">
        <f>(1+C106)^2</f>
        <v>2.8351201397422501</v>
      </c>
      <c r="F104" s="149">
        <f>(1+C106)^3</f>
        <v>4.7737228415754158</v>
      </c>
      <c r="G104" s="149">
        <f>F104</f>
        <v>4.7737228415754158</v>
      </c>
    </row>
    <row r="105" spans="1:8" ht="12.75" customHeight="1"/>
    <row r="106" spans="1:8">
      <c r="B106" s="354" t="s">
        <v>1161</v>
      </c>
      <c r="C106" s="353">
        <v>0.68378150000000004</v>
      </c>
      <c r="D106" s="187"/>
    </row>
    <row r="110" spans="1:8" ht="15">
      <c r="A110" s="1383" t="s">
        <v>1372</v>
      </c>
      <c r="B110" s="1384"/>
      <c r="C110" s="1384" t="s">
        <v>393</v>
      </c>
    </row>
    <row r="112" spans="1:8">
      <c r="A112" s="21" t="s">
        <v>1310</v>
      </c>
    </row>
    <row r="115" spans="2:4">
      <c r="B115" s="134" t="s">
        <v>1162</v>
      </c>
      <c r="C115" s="102">
        <f>C85</f>
        <v>-329678</v>
      </c>
      <c r="D115" s="105" t="s">
        <v>394</v>
      </c>
    </row>
    <row r="116" spans="2:4" ht="13.5" thickBot="1">
      <c r="B116" s="134" t="s">
        <v>1163</v>
      </c>
      <c r="C116" s="182">
        <f>D84/D86</f>
        <v>0</v>
      </c>
      <c r="D116" s="21" t="s">
        <v>395</v>
      </c>
    </row>
    <row r="117" spans="2:4">
      <c r="C117" s="210">
        <f>C115+C116</f>
        <v>-329678</v>
      </c>
      <c r="D117" s="21" t="s">
        <v>394</v>
      </c>
    </row>
    <row r="118" spans="2:4" ht="13.5" thickBot="1">
      <c r="B118" s="134" t="s">
        <v>1164</v>
      </c>
      <c r="C118" s="182">
        <f>E84/E86</f>
        <v>81999.018470078183</v>
      </c>
      <c r="D118" s="21" t="s">
        <v>395</v>
      </c>
    </row>
    <row r="119" spans="2:4">
      <c r="C119" s="210">
        <f>C117+C118</f>
        <v>-247678.98152992182</v>
      </c>
      <c r="D119" s="21" t="s">
        <v>394</v>
      </c>
    </row>
    <row r="120" spans="2:4" ht="13.5" thickBot="1">
      <c r="B120" s="134" t="s">
        <v>160</v>
      </c>
      <c r="C120" s="182">
        <f>F84/F86</f>
        <v>360089.65848293918</v>
      </c>
    </row>
    <row r="121" spans="2:4">
      <c r="C121" s="355">
        <f>C119+C120</f>
        <v>112410.67695301736</v>
      </c>
    </row>
    <row r="122" spans="2:4" ht="13.5" thickBot="1">
      <c r="B122" s="134" t="s">
        <v>161</v>
      </c>
      <c r="C122" s="182">
        <f>G84/G86</f>
        <v>3921561.0189347081</v>
      </c>
    </row>
    <row r="123" spans="2:4">
      <c r="C123" s="210">
        <f>C121+C122</f>
        <v>4033971.6958877253</v>
      </c>
    </row>
  </sheetData>
  <mergeCells count="12">
    <mergeCell ref="D85:G85"/>
    <mergeCell ref="C66:G66"/>
    <mergeCell ref="A57:B57"/>
    <mergeCell ref="A58:B58"/>
    <mergeCell ref="A110:C110"/>
    <mergeCell ref="A89:C89"/>
    <mergeCell ref="A26:B26"/>
    <mergeCell ref="A56:B56"/>
    <mergeCell ref="A45:A47"/>
    <mergeCell ref="A1:C1"/>
    <mergeCell ref="A20:C20"/>
    <mergeCell ref="A50:C50"/>
  </mergeCells>
  <phoneticPr fontId="114" type="noConversion"/>
  <pageMargins left="0.39370078740157483" right="0.39370078740157483" top="0.39370078740157483" bottom="0.39370078740157483" header="0.39370078740157483" footer="0.39370078740157483"/>
  <pageSetup paperSize="9" scale="49" fitToHeight="2" orientation="portrait"/>
  <rowBreaks count="1" manualBreakCount="1">
    <brk id="87" max="16" man="1"/>
  </rowBreaks>
  <drawing r:id="rId1"/>
  <legacyDrawing r:id="rId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J41"/>
  <sheetViews>
    <sheetView showGridLines="0" topLeftCell="A15" zoomScale="85" zoomScaleNormal="85" zoomScalePageLayoutView="85" workbookViewId="0">
      <selection activeCell="M15" sqref="M15"/>
    </sheetView>
  </sheetViews>
  <sheetFormatPr defaultColWidth="8.85546875" defaultRowHeight="12.75"/>
  <cols>
    <col min="1" max="1" width="35.140625" customWidth="1"/>
    <col min="2" max="2" width="8.28515625" customWidth="1"/>
    <col min="3" max="10" width="9.85546875" customWidth="1"/>
    <col min="11" max="11" width="10" customWidth="1"/>
    <col min="12" max="12" width="10.85546875" customWidth="1"/>
    <col min="13" max="13" width="10" customWidth="1"/>
    <col min="14" max="14" width="4.28515625" customWidth="1"/>
    <col min="15" max="15" width="44" style="11" customWidth="1"/>
    <col min="16" max="29" width="10.85546875" customWidth="1"/>
  </cols>
  <sheetData>
    <row r="1" spans="1:15" ht="15">
      <c r="A1" s="1383" t="s">
        <v>1373</v>
      </c>
      <c r="B1" s="1384"/>
      <c r="C1" s="1384"/>
    </row>
    <row r="2" spans="1:15" ht="15.75">
      <c r="A2" s="137"/>
      <c r="D2" s="922" t="s">
        <v>1003</v>
      </c>
      <c r="E2" s="923"/>
      <c r="F2" s="923"/>
      <c r="G2" s="923"/>
      <c r="H2" s="923"/>
      <c r="I2" s="924"/>
    </row>
    <row r="3" spans="1:15">
      <c r="A3" s="253"/>
      <c r="D3" s="925" t="s">
        <v>1004</v>
      </c>
      <c r="E3" s="926"/>
      <c r="F3" s="926"/>
      <c r="G3" s="926"/>
      <c r="H3" s="926"/>
      <c r="I3" s="927"/>
    </row>
    <row r="4" spans="1:15">
      <c r="A4" s="253" t="s">
        <v>996</v>
      </c>
      <c r="D4" s="925" t="s">
        <v>1005</v>
      </c>
      <c r="E4" s="926"/>
      <c r="F4" s="926"/>
      <c r="G4" s="926"/>
      <c r="H4" s="926"/>
      <c r="I4" s="927"/>
    </row>
    <row r="5" spans="1:15">
      <c r="A5" s="252"/>
      <c r="D5" s="928" t="s">
        <v>162</v>
      </c>
      <c r="E5" s="926"/>
      <c r="F5" s="926"/>
      <c r="G5" s="926"/>
      <c r="H5" s="926"/>
      <c r="I5" s="927"/>
    </row>
    <row r="6" spans="1:15">
      <c r="A6" s="252"/>
      <c r="D6" s="929" t="s">
        <v>1006</v>
      </c>
      <c r="E6" s="930"/>
      <c r="F6" s="930"/>
      <c r="G6" s="930"/>
      <c r="H6" s="930"/>
      <c r="I6" s="931"/>
    </row>
    <row r="7" spans="1:15">
      <c r="A7" s="252"/>
    </row>
    <row r="8" spans="1:15">
      <c r="A8" s="252"/>
    </row>
    <row r="9" spans="1:15">
      <c r="A9" s="252"/>
    </row>
    <row r="10" spans="1:15">
      <c r="A10" s="245"/>
      <c r="E10" s="36"/>
    </row>
    <row r="11" spans="1:15">
      <c r="A11" s="247" t="s">
        <v>997</v>
      </c>
      <c r="B11" s="932">
        <f>'NPV, IRR, payback'!H66</f>
        <v>9.9024986659339426E-2</v>
      </c>
      <c r="F11" s="249" t="s">
        <v>969</v>
      </c>
      <c r="G11" s="251">
        <f>+M31</f>
        <v>9752601.7867799699</v>
      </c>
    </row>
    <row r="12" spans="1:15">
      <c r="A12" s="247" t="s">
        <v>998</v>
      </c>
      <c r="B12" s="932">
        <f>'NPV, IRR, payback'!B43</f>
        <v>6.5962571981443615E-3</v>
      </c>
      <c r="F12" s="249" t="str">
        <f>"Net Financial Position (NFP) as per "&amp;'Income Statement'!E3</f>
        <v>Net Financial Position (NFP) as per year X+2</v>
      </c>
      <c r="G12" s="251">
        <f>+M32</f>
        <v>2052824.0016000001</v>
      </c>
      <c r="O12" s="848" t="s">
        <v>163</v>
      </c>
    </row>
    <row r="13" spans="1:15" ht="25.5">
      <c r="A13" s="247" t="s">
        <v>999</v>
      </c>
      <c r="B13" s="933">
        <f>'Income Statement'!G25/'Income Statement'!G8</f>
        <v>0.48757763975155277</v>
      </c>
      <c r="F13" s="249" t="s">
        <v>973</v>
      </c>
      <c r="G13" s="251">
        <f>+M33</f>
        <v>11805425.788379971</v>
      </c>
      <c r="O13" s="848" t="s">
        <v>164</v>
      </c>
    </row>
    <row r="14" spans="1:15">
      <c r="A14" s="247" t="s">
        <v>1000</v>
      </c>
      <c r="B14" s="250"/>
      <c r="F14" s="249" t="s">
        <v>972</v>
      </c>
      <c r="G14" s="248">
        <f>+M34</f>
        <v>11805.425788379971</v>
      </c>
    </row>
    <row r="15" spans="1:15">
      <c r="A15" s="247" t="s">
        <v>1001</v>
      </c>
    </row>
    <row r="16" spans="1:15">
      <c r="A16" s="247" t="s">
        <v>1002</v>
      </c>
      <c r="B16" s="246">
        <f>'Other input data'!B10</f>
        <v>0.21</v>
      </c>
    </row>
    <row r="17" spans="1:36">
      <c r="A17" s="245"/>
    </row>
    <row r="18" spans="1:36" ht="30">
      <c r="A18" s="245"/>
      <c r="B18" s="940" t="s">
        <v>728</v>
      </c>
      <c r="C18" s="940" t="s">
        <v>727</v>
      </c>
      <c r="D18" s="940" t="s">
        <v>1317</v>
      </c>
      <c r="E18" s="940" t="s">
        <v>1318</v>
      </c>
      <c r="F18" s="940" t="s">
        <v>372</v>
      </c>
      <c r="G18" s="940" t="s">
        <v>165</v>
      </c>
      <c r="H18" s="940" t="s">
        <v>166</v>
      </c>
      <c r="I18" s="940" t="s">
        <v>167</v>
      </c>
      <c r="J18" s="940" t="s">
        <v>168</v>
      </c>
      <c r="K18" s="940" t="s">
        <v>169</v>
      </c>
      <c r="L18" s="940" t="s">
        <v>170</v>
      </c>
      <c r="M18" s="895" t="s">
        <v>971</v>
      </c>
      <c r="N18" s="125"/>
      <c r="O18" s="1396" t="s">
        <v>171</v>
      </c>
      <c r="P18" s="125"/>
      <c r="Q18" s="125"/>
      <c r="R18" s="125"/>
      <c r="S18" s="125"/>
      <c r="T18" s="125"/>
      <c r="U18" s="125"/>
      <c r="V18" s="125"/>
      <c r="W18" s="125"/>
      <c r="X18" s="125"/>
      <c r="Y18" s="125"/>
      <c r="Z18" s="125"/>
      <c r="AA18" s="125"/>
      <c r="AB18" s="125"/>
      <c r="AC18" s="125"/>
      <c r="AD18" s="125"/>
      <c r="AE18" s="125"/>
      <c r="AF18" s="125"/>
      <c r="AG18" s="125"/>
      <c r="AH18" s="125"/>
    </row>
    <row r="19" spans="1:36" ht="18" customHeight="1">
      <c r="A19" s="240" t="s">
        <v>1007</v>
      </c>
      <c r="B19" s="235">
        <f>'Income Statement'!C8</f>
        <v>44825</v>
      </c>
      <c r="C19" s="941">
        <f>'Income Statement'!D8</f>
        <v>269163</v>
      </c>
      <c r="D19" s="941">
        <f>'Income Statement'!E8</f>
        <v>1220214</v>
      </c>
      <c r="E19" s="941">
        <f>'Income Statement'!F8</f>
        <v>1720665</v>
      </c>
      <c r="F19" s="941">
        <f>'Income Statement'!G8</f>
        <v>2756964</v>
      </c>
      <c r="G19" s="941">
        <f t="shared" ref="G19:L19" si="0">+F19*(1+$B$12)</f>
        <v>2775149.643630025</v>
      </c>
      <c r="H19" s="941">
        <f t="shared" si="0"/>
        <v>2793455.2444427474</v>
      </c>
      <c r="I19" s="941">
        <f t="shared" si="0"/>
        <v>2811881.5937065971</v>
      </c>
      <c r="J19" s="941">
        <f t="shared" si="0"/>
        <v>2830429.4879094139</v>
      </c>
      <c r="K19" s="941">
        <f t="shared" si="0"/>
        <v>2849099.7287928765</v>
      </c>
      <c r="L19" s="941">
        <f t="shared" si="0"/>
        <v>2867893.1233871579</v>
      </c>
      <c r="M19" s="234"/>
      <c r="N19" s="233"/>
      <c r="O19" s="1396"/>
      <c r="P19" s="233"/>
      <c r="Q19" s="233"/>
      <c r="R19" s="233"/>
      <c r="S19" s="233"/>
      <c r="T19" s="233"/>
      <c r="U19" s="233"/>
      <c r="V19" s="233"/>
      <c r="W19" s="233"/>
      <c r="X19" s="233"/>
      <c r="Y19" s="233"/>
      <c r="Z19" s="233"/>
      <c r="AA19" s="233"/>
      <c r="AB19" s="233"/>
      <c r="AC19" s="233"/>
      <c r="AD19" s="233"/>
      <c r="AE19" s="233"/>
      <c r="AF19" s="233"/>
      <c r="AG19" s="233"/>
      <c r="AH19" s="233"/>
      <c r="AI19" s="232"/>
      <c r="AJ19" s="232"/>
    </row>
    <row r="20" spans="1:36" ht="18" customHeight="1">
      <c r="A20" s="244" t="s">
        <v>725</v>
      </c>
      <c r="B20" s="228">
        <f>'Income Statement'!C25</f>
        <v>-28540</v>
      </c>
      <c r="C20" s="225">
        <f>'Income Statement'!D25</f>
        <v>58559</v>
      </c>
      <c r="D20" s="225">
        <f>'Income Statement'!E25</f>
        <v>538870</v>
      </c>
      <c r="E20" s="225">
        <f>'Income Statement'!F25</f>
        <v>736229</v>
      </c>
      <c r="F20" s="225">
        <f>'Income Statement'!G25</f>
        <v>1344234</v>
      </c>
      <c r="G20" s="225">
        <f t="shared" ref="G20:L20" si="1">+G19*G21</f>
        <v>1353100.9131984904</v>
      </c>
      <c r="H20" s="225">
        <f t="shared" si="1"/>
        <v>1362026.3148369917</v>
      </c>
      <c r="I20" s="225">
        <f t="shared" si="1"/>
        <v>1371010.5907202973</v>
      </c>
      <c r="J20" s="225">
        <f t="shared" si="1"/>
        <v>1380054.1291980683</v>
      </c>
      <c r="K20" s="225">
        <f t="shared" si="1"/>
        <v>1389157.3211816198</v>
      </c>
      <c r="L20" s="225">
        <f t="shared" si="1"/>
        <v>1398320.5601608192</v>
      </c>
      <c r="M20" s="243"/>
      <c r="N20" s="220"/>
      <c r="O20" s="1396" t="s">
        <v>172</v>
      </c>
      <c r="P20" s="220"/>
      <c r="Q20" s="220"/>
      <c r="R20" s="220"/>
      <c r="S20" s="220"/>
      <c r="T20" s="220"/>
      <c r="U20" s="220"/>
      <c r="V20" s="220"/>
      <c r="W20" s="220"/>
      <c r="X20" s="220"/>
      <c r="Y20" s="220"/>
      <c r="Z20" s="220"/>
      <c r="AA20" s="220"/>
      <c r="AB20" s="220"/>
      <c r="AC20" s="220"/>
      <c r="AD20" s="220"/>
      <c r="AE20" s="220"/>
      <c r="AF20" s="220"/>
      <c r="AG20" s="220"/>
      <c r="AH20" s="220"/>
      <c r="AI20" s="219"/>
      <c r="AJ20" s="219"/>
    </row>
    <row r="21" spans="1:36" s="21" customFormat="1" ht="18" customHeight="1">
      <c r="A21" s="240" t="s">
        <v>1008</v>
      </c>
      <c r="B21" s="242">
        <f>+B20/B19</f>
        <v>-0.63669827105409926</v>
      </c>
      <c r="C21" s="942">
        <f>C20/C19</f>
        <v>0.21755962000720752</v>
      </c>
      <c r="D21" s="942">
        <f>D20/D19</f>
        <v>0.44161925695001042</v>
      </c>
      <c r="E21" s="942">
        <f>E20/E19</f>
        <v>0.42787468798400619</v>
      </c>
      <c r="F21" s="942">
        <f>F20/F19</f>
        <v>0.48757763975155277</v>
      </c>
      <c r="G21" s="942">
        <f t="shared" ref="G21:L21" si="2">+$B$13</f>
        <v>0.48757763975155277</v>
      </c>
      <c r="H21" s="942">
        <f t="shared" si="2"/>
        <v>0.48757763975155277</v>
      </c>
      <c r="I21" s="942">
        <f t="shared" si="2"/>
        <v>0.48757763975155277</v>
      </c>
      <c r="J21" s="942">
        <f t="shared" si="2"/>
        <v>0.48757763975155277</v>
      </c>
      <c r="K21" s="942">
        <f t="shared" si="2"/>
        <v>0.48757763975155277</v>
      </c>
      <c r="L21" s="942">
        <f t="shared" si="2"/>
        <v>0.48757763975155277</v>
      </c>
      <c r="M21" s="239"/>
      <c r="N21" s="238"/>
      <c r="O21" s="1396"/>
      <c r="P21" s="238"/>
      <c r="Q21" s="238"/>
      <c r="R21" s="238"/>
      <c r="S21" s="238"/>
      <c r="T21" s="238"/>
      <c r="U21" s="238"/>
      <c r="V21" s="238"/>
      <c r="W21" s="238"/>
      <c r="X21" s="238"/>
      <c r="Y21" s="238"/>
      <c r="Z21" s="238"/>
      <c r="AA21" s="238"/>
      <c r="AB21" s="238"/>
      <c r="AC21" s="238"/>
      <c r="AD21" s="238"/>
      <c r="AE21" s="238"/>
      <c r="AF21" s="238"/>
      <c r="AG21" s="238"/>
      <c r="AH21" s="238"/>
      <c r="AI21" s="237"/>
      <c r="AJ21" s="237"/>
    </row>
    <row r="22" spans="1:36" ht="18" customHeight="1">
      <c r="A22" s="241" t="s">
        <v>1009</v>
      </c>
      <c r="B22" s="235">
        <f>+'Cash Flow Statement'!B41</f>
        <v>-56995</v>
      </c>
      <c r="C22" s="941">
        <f>+'Cash Flow Statement'!C41</f>
        <v>34540</v>
      </c>
      <c r="D22" s="941">
        <f>+'Cash Flow Statement'!D41</f>
        <v>69347</v>
      </c>
      <c r="E22" s="941">
        <f>+'Cash Flow Statement'!E41</f>
        <v>-9520</v>
      </c>
      <c r="F22" s="941">
        <f>+'Cash Flow Statement'!F41</f>
        <v>47777</v>
      </c>
      <c r="G22" s="941">
        <f t="shared" ref="G22:L22" si="3">+F22*(1+$B$12)</f>
        <v>48092.149380155744</v>
      </c>
      <c r="H22" s="941">
        <f t="shared" si="3"/>
        <v>48409.377566678835</v>
      </c>
      <c r="I22" s="941">
        <f t="shared" si="3"/>
        <v>48728.698271910733</v>
      </c>
      <c r="J22" s="941">
        <f t="shared" si="3"/>
        <v>49050.125298643026</v>
      </c>
      <c r="K22" s="941">
        <f t="shared" si="3"/>
        <v>49373.672540714084</v>
      </c>
      <c r="L22" s="941">
        <f t="shared" si="3"/>
        <v>49699.353983609595</v>
      </c>
      <c r="M22" s="234"/>
      <c r="N22" s="233"/>
      <c r="O22" s="1396" t="s">
        <v>173</v>
      </c>
      <c r="P22" s="233"/>
      <c r="Q22" s="233"/>
      <c r="R22" s="233"/>
      <c r="S22" s="233"/>
      <c r="T22" s="233"/>
      <c r="U22" s="233"/>
      <c r="V22" s="233"/>
      <c r="W22" s="233"/>
      <c r="X22" s="233"/>
      <c r="Y22" s="233"/>
      <c r="Z22" s="233"/>
      <c r="AA22" s="233"/>
      <c r="AB22" s="233"/>
      <c r="AC22" s="233"/>
      <c r="AD22" s="233"/>
      <c r="AE22" s="233"/>
      <c r="AF22" s="233"/>
      <c r="AG22" s="233"/>
      <c r="AH22" s="233"/>
      <c r="AI22" s="232"/>
      <c r="AJ22" s="232"/>
    </row>
    <row r="23" spans="1:36" s="21" customFormat="1" ht="18" customHeight="1">
      <c r="A23" s="240" t="s">
        <v>1010</v>
      </c>
      <c r="B23" s="235">
        <f>+'Cash Flow Statement'!B13</f>
        <v>0</v>
      </c>
      <c r="C23" s="942">
        <f>+'Cash Flow Statement'!C13</f>
        <v>0</v>
      </c>
      <c r="D23" s="942">
        <f>+'Cash Flow Statement'!D13</f>
        <v>0</v>
      </c>
      <c r="E23" s="942">
        <f>+'Cash Flow Statement'!E13</f>
        <v>0</v>
      </c>
      <c r="F23" s="942">
        <f>+'Cash Flow Statement'!F13</f>
        <v>0</v>
      </c>
      <c r="G23" s="942">
        <f t="shared" ref="G23:L23" si="4">F23</f>
        <v>0</v>
      </c>
      <c r="H23" s="942">
        <f t="shared" si="4"/>
        <v>0</v>
      </c>
      <c r="I23" s="942">
        <f t="shared" si="4"/>
        <v>0</v>
      </c>
      <c r="J23" s="942">
        <f t="shared" si="4"/>
        <v>0</v>
      </c>
      <c r="K23" s="942">
        <f t="shared" si="4"/>
        <v>0</v>
      </c>
      <c r="L23" s="942">
        <f t="shared" si="4"/>
        <v>0</v>
      </c>
      <c r="M23" s="239"/>
      <c r="N23" s="238"/>
      <c r="O23" s="1396"/>
      <c r="P23" s="238"/>
      <c r="Q23" s="238"/>
      <c r="R23" s="238"/>
      <c r="S23" s="238"/>
      <c r="T23" s="238"/>
      <c r="U23" s="238"/>
      <c r="V23" s="238"/>
      <c r="W23" s="238"/>
      <c r="X23" s="238"/>
      <c r="Y23" s="238"/>
      <c r="Z23" s="238"/>
      <c r="AA23" s="238"/>
      <c r="AB23" s="238"/>
      <c r="AC23" s="238"/>
      <c r="AD23" s="238"/>
      <c r="AE23" s="238"/>
      <c r="AF23" s="238"/>
      <c r="AG23" s="238"/>
      <c r="AH23" s="238"/>
      <c r="AI23" s="237"/>
      <c r="AJ23" s="237"/>
    </row>
    <row r="24" spans="1:36" ht="18" customHeight="1">
      <c r="A24" s="230" t="s">
        <v>1011</v>
      </c>
      <c r="B24" s="235">
        <f>+'Cash Flow Statement'!B48</f>
        <v>-245069</v>
      </c>
      <c r="C24" s="943">
        <f>+'Cash Flow Statement'!C48</f>
        <v>-352</v>
      </c>
      <c r="D24" s="943">
        <f>+'Cash Flow Statement'!D48</f>
        <v>-147248</v>
      </c>
      <c r="E24" s="943">
        <f>+'Cash Flow Statement'!E48</f>
        <v>-133993</v>
      </c>
      <c r="F24" s="943">
        <f>+'Cash Flow Statement'!F48</f>
        <v>-188558</v>
      </c>
      <c r="G24" s="943"/>
      <c r="H24" s="943"/>
      <c r="I24" s="943"/>
      <c r="J24" s="943"/>
      <c r="K24" s="943"/>
      <c r="L24" s="943"/>
      <c r="M24" s="234"/>
      <c r="N24" s="233"/>
      <c r="O24" s="1396" t="s">
        <v>174</v>
      </c>
      <c r="P24" s="233"/>
      <c r="Q24" s="233"/>
      <c r="R24" s="233"/>
      <c r="S24" s="233"/>
      <c r="T24" s="233"/>
      <c r="U24" s="233"/>
      <c r="V24" s="233"/>
      <c r="W24" s="233"/>
      <c r="X24" s="233"/>
      <c r="Y24" s="233"/>
      <c r="Z24" s="233"/>
      <c r="AA24" s="233"/>
      <c r="AB24" s="233"/>
      <c r="AC24" s="233"/>
      <c r="AD24" s="233"/>
      <c r="AE24" s="233"/>
      <c r="AF24" s="233"/>
      <c r="AG24" s="233"/>
      <c r="AH24" s="233"/>
      <c r="AI24" s="232"/>
      <c r="AJ24" s="232"/>
    </row>
    <row r="25" spans="1:36" s="51" customFormat="1" ht="18" customHeight="1">
      <c r="A25" s="279" t="s">
        <v>1022</v>
      </c>
      <c r="B25" s="228">
        <f>+B20+B24+B22+B23</f>
        <v>-330604</v>
      </c>
      <c r="C25" s="231">
        <f t="shared" ref="C25:L25" si="5">+C20+C24+C22</f>
        <v>92747</v>
      </c>
      <c r="D25" s="231">
        <f t="shared" si="5"/>
        <v>460969</v>
      </c>
      <c r="E25" s="231">
        <f t="shared" si="5"/>
        <v>592716</v>
      </c>
      <c r="F25" s="231">
        <f t="shared" si="5"/>
        <v>1203453</v>
      </c>
      <c r="G25" s="231">
        <f t="shared" si="5"/>
        <v>1401193.0625786462</v>
      </c>
      <c r="H25" s="231">
        <f t="shared" si="5"/>
        <v>1410435.6924036706</v>
      </c>
      <c r="I25" s="231">
        <f t="shared" si="5"/>
        <v>1419739.288992208</v>
      </c>
      <c r="J25" s="231">
        <f t="shared" si="5"/>
        <v>1429104.2544967113</v>
      </c>
      <c r="K25" s="231">
        <f t="shared" si="5"/>
        <v>1438530.9937223338</v>
      </c>
      <c r="L25" s="231">
        <f t="shared" si="5"/>
        <v>1448019.9141444289</v>
      </c>
      <c r="M25" s="236"/>
      <c r="N25" s="217"/>
      <c r="O25" s="1396"/>
      <c r="P25" s="217"/>
      <c r="Q25" s="217"/>
      <c r="R25" s="217"/>
      <c r="S25" s="217"/>
      <c r="T25" s="217"/>
      <c r="U25" s="220"/>
      <c r="V25" s="220"/>
      <c r="W25" s="220"/>
      <c r="X25" s="220"/>
      <c r="Y25" s="220"/>
      <c r="Z25" s="220"/>
      <c r="AA25" s="220"/>
      <c r="AB25" s="220"/>
      <c r="AC25" s="220"/>
      <c r="AD25" s="220"/>
      <c r="AE25" s="220"/>
      <c r="AF25" s="220"/>
      <c r="AG25" s="220"/>
      <c r="AH25" s="220"/>
      <c r="AI25" s="219"/>
      <c r="AJ25" s="219"/>
    </row>
    <row r="26" spans="1:36" ht="18" customHeight="1">
      <c r="A26" s="230" t="s">
        <v>1012</v>
      </c>
      <c r="B26" s="235">
        <f>+'Income Statement'!C58</f>
        <v>0</v>
      </c>
      <c r="C26" s="943">
        <f>+'Income Statement'!D58</f>
        <v>0</v>
      </c>
      <c r="D26" s="943">
        <f>+'Income Statement'!E58</f>
        <v>-39217</v>
      </c>
      <c r="E26" s="943">
        <f>+'Income Statement'!F58</f>
        <v>-62751</v>
      </c>
      <c r="F26" s="943">
        <f>+'Income Statement'!G58</f>
        <v>-120051</v>
      </c>
      <c r="G26" s="943">
        <f t="shared" ref="G26:L26" si="6">-G25*$B$16</f>
        <v>-294250.54314151569</v>
      </c>
      <c r="H26" s="943">
        <f t="shared" si="6"/>
        <v>-296191.49540477083</v>
      </c>
      <c r="I26" s="943">
        <f t="shared" si="6"/>
        <v>-298145.25068836368</v>
      </c>
      <c r="J26" s="943">
        <f t="shared" si="6"/>
        <v>-300111.89344430936</v>
      </c>
      <c r="K26" s="943">
        <f t="shared" si="6"/>
        <v>-302091.50868169009</v>
      </c>
      <c r="L26" s="943">
        <f t="shared" si="6"/>
        <v>-304084.18197033007</v>
      </c>
      <c r="M26" s="234"/>
      <c r="N26" s="233"/>
      <c r="O26" s="1396" t="s">
        <v>175</v>
      </c>
      <c r="P26" s="233"/>
      <c r="Q26" s="233"/>
      <c r="R26" s="233"/>
      <c r="S26" s="233"/>
      <c r="T26" s="233"/>
      <c r="U26" s="233"/>
      <c r="V26" s="233"/>
      <c r="W26" s="233"/>
      <c r="X26" s="233"/>
      <c r="Y26" s="233"/>
      <c r="Z26" s="233"/>
      <c r="AA26" s="233"/>
      <c r="AB26" s="233"/>
      <c r="AC26" s="233"/>
      <c r="AD26" s="233"/>
      <c r="AE26" s="233"/>
      <c r="AF26" s="233"/>
      <c r="AG26" s="233"/>
      <c r="AH26" s="233"/>
      <c r="AI26" s="232"/>
      <c r="AJ26" s="232"/>
    </row>
    <row r="27" spans="1:36" s="51" customFormat="1" ht="18" customHeight="1">
      <c r="A27" s="934" t="s">
        <v>176</v>
      </c>
      <c r="B27" s="935">
        <f t="shared" ref="B27:L27" si="7">SUM(B25:B26)</f>
        <v>-330604</v>
      </c>
      <c r="C27" s="935">
        <f t="shared" si="7"/>
        <v>92747</v>
      </c>
      <c r="D27" s="935">
        <f t="shared" si="7"/>
        <v>421752</v>
      </c>
      <c r="E27" s="935">
        <f t="shared" si="7"/>
        <v>529965</v>
      </c>
      <c r="F27" s="935">
        <f t="shared" si="7"/>
        <v>1083402</v>
      </c>
      <c r="G27" s="935">
        <f t="shared" si="7"/>
        <v>1106942.5194371305</v>
      </c>
      <c r="H27" s="935">
        <f t="shared" si="7"/>
        <v>1114244.1969988998</v>
      </c>
      <c r="I27" s="935">
        <f t="shared" si="7"/>
        <v>1121594.0383038442</v>
      </c>
      <c r="J27" s="935">
        <f t="shared" si="7"/>
        <v>1128992.3610524018</v>
      </c>
      <c r="K27" s="935">
        <f t="shared" si="7"/>
        <v>1136439.4850406437</v>
      </c>
      <c r="L27" s="935">
        <f t="shared" si="7"/>
        <v>1143935.732174099</v>
      </c>
      <c r="M27" s="935">
        <f>L27/(B11-B12)</f>
        <v>12376408.708012855</v>
      </c>
      <c r="N27" s="220"/>
      <c r="O27" s="1396"/>
      <c r="P27" s="220"/>
      <c r="Q27" s="220"/>
      <c r="R27" s="220"/>
      <c r="S27" s="220"/>
      <c r="T27" s="220"/>
      <c r="U27" s="220"/>
      <c r="V27" s="220"/>
      <c r="W27" s="220"/>
      <c r="X27" s="220"/>
      <c r="Y27" s="220"/>
      <c r="Z27" s="220"/>
      <c r="AA27" s="220"/>
      <c r="AB27" s="220"/>
      <c r="AC27" s="220"/>
      <c r="AD27" s="220"/>
      <c r="AE27" s="220"/>
      <c r="AF27" s="220"/>
      <c r="AG27" s="220"/>
      <c r="AH27" s="220"/>
      <c r="AI27" s="219"/>
      <c r="AJ27" s="219"/>
    </row>
    <row r="28" spans="1:36" s="51" customFormat="1" ht="18" customHeight="1">
      <c r="A28" s="230" t="s">
        <v>970</v>
      </c>
      <c r="B28" s="228"/>
      <c r="C28" s="229">
        <v>1</v>
      </c>
      <c r="D28" s="229">
        <v>2</v>
      </c>
      <c r="E28" s="229">
        <v>3</v>
      </c>
      <c r="F28" s="229">
        <v>4</v>
      </c>
      <c r="G28" s="229">
        <v>5</v>
      </c>
      <c r="H28" s="229">
        <v>6</v>
      </c>
      <c r="I28" s="229">
        <v>7</v>
      </c>
      <c r="J28" s="229">
        <v>8</v>
      </c>
      <c r="K28" s="229">
        <v>9</v>
      </c>
      <c r="L28" s="229">
        <v>10</v>
      </c>
      <c r="M28" s="229">
        <v>10</v>
      </c>
      <c r="N28" s="220"/>
      <c r="O28" s="304"/>
      <c r="P28" s="220"/>
      <c r="Q28" s="220"/>
      <c r="R28" s="220"/>
      <c r="S28" s="220"/>
      <c r="T28" s="220"/>
      <c r="U28" s="220"/>
      <c r="V28" s="220"/>
      <c r="W28" s="220"/>
      <c r="X28" s="220"/>
      <c r="Y28" s="220"/>
      <c r="Z28" s="220"/>
      <c r="AA28" s="220"/>
      <c r="AB28" s="220"/>
      <c r="AC28" s="220"/>
      <c r="AD28" s="220"/>
      <c r="AE28" s="220"/>
      <c r="AF28" s="220"/>
      <c r="AG28" s="220"/>
      <c r="AH28" s="220"/>
      <c r="AI28" s="219"/>
      <c r="AJ28" s="219"/>
    </row>
    <row r="29" spans="1:36" s="51" customFormat="1" ht="18" customHeight="1">
      <c r="A29" s="934" t="s">
        <v>1013</v>
      </c>
      <c r="B29" s="935"/>
      <c r="C29" s="935">
        <f t="shared" ref="C29:M29" si="8">+C27/(1+$B$11)^C28</f>
        <v>84390.256023131195</v>
      </c>
      <c r="D29" s="935">
        <f t="shared" si="8"/>
        <v>349174.09648124973</v>
      </c>
      <c r="E29" s="935">
        <f t="shared" si="8"/>
        <v>399231.21437369165</v>
      </c>
      <c r="F29" s="935">
        <f t="shared" si="8"/>
        <v>742607.56238887983</v>
      </c>
      <c r="G29" s="935">
        <f t="shared" si="8"/>
        <v>690378.46819549461</v>
      </c>
      <c r="H29" s="935">
        <f t="shared" si="8"/>
        <v>632317.18165765295</v>
      </c>
      <c r="I29" s="935">
        <f t="shared" si="8"/>
        <v>579138.88778214133</v>
      </c>
      <c r="J29" s="935">
        <f t="shared" si="8"/>
        <v>530432.92365116836</v>
      </c>
      <c r="K29" s="935">
        <f t="shared" si="8"/>
        <v>485823.16337038472</v>
      </c>
      <c r="L29" s="935">
        <f t="shared" si="8"/>
        <v>444965.11348233273</v>
      </c>
      <c r="M29" s="935">
        <f t="shared" si="8"/>
        <v>4814142.919373842</v>
      </c>
      <c r="N29" s="220"/>
      <c r="O29" s="304"/>
      <c r="P29" s="220"/>
      <c r="Q29" s="220"/>
      <c r="R29" s="220"/>
      <c r="S29" s="220"/>
      <c r="T29" s="220"/>
      <c r="U29" s="220"/>
      <c r="V29" s="220"/>
      <c r="W29" s="220"/>
      <c r="X29" s="220"/>
      <c r="Y29" s="220"/>
      <c r="Z29" s="220"/>
      <c r="AA29" s="220"/>
      <c r="AB29" s="220"/>
      <c r="AC29" s="220"/>
      <c r="AD29" s="220"/>
      <c r="AE29" s="220"/>
      <c r="AF29" s="220"/>
      <c r="AG29" s="220"/>
      <c r="AH29" s="220"/>
      <c r="AI29" s="219"/>
      <c r="AJ29" s="219"/>
    </row>
    <row r="30" spans="1:36" s="51" customFormat="1" ht="18" customHeight="1">
      <c r="A30" s="934" t="s">
        <v>1014</v>
      </c>
      <c r="B30" s="936"/>
      <c r="C30" s="936">
        <f>+C29</f>
        <v>84390.256023131195</v>
      </c>
      <c r="D30" s="936">
        <f t="shared" ref="D30:M30" si="9">+C30+D29</f>
        <v>433564.35250438092</v>
      </c>
      <c r="E30" s="936">
        <f t="shared" si="9"/>
        <v>832795.56687807257</v>
      </c>
      <c r="F30" s="936">
        <f t="shared" si="9"/>
        <v>1575403.1292669524</v>
      </c>
      <c r="G30" s="936">
        <f t="shared" si="9"/>
        <v>2265781.5974624469</v>
      </c>
      <c r="H30" s="936">
        <f t="shared" si="9"/>
        <v>2898098.7791200997</v>
      </c>
      <c r="I30" s="936">
        <f t="shared" si="9"/>
        <v>3477237.6669022413</v>
      </c>
      <c r="J30" s="936">
        <f t="shared" si="9"/>
        <v>4007670.5905534094</v>
      </c>
      <c r="K30" s="936">
        <f t="shared" si="9"/>
        <v>4493493.7539237943</v>
      </c>
      <c r="L30" s="936">
        <f t="shared" si="9"/>
        <v>4938458.867406127</v>
      </c>
      <c r="M30" s="935">
        <f t="shared" si="9"/>
        <v>9752601.7867799699</v>
      </c>
      <c r="N30" s="220"/>
      <c r="O30" s="304"/>
      <c r="P30" s="220"/>
      <c r="Q30" s="220"/>
      <c r="R30" s="220"/>
      <c r="S30" s="220"/>
      <c r="T30" s="220"/>
      <c r="U30" s="220"/>
      <c r="V30" s="220"/>
      <c r="W30" s="220"/>
      <c r="X30" s="220"/>
      <c r="Y30" s="220"/>
      <c r="Z30" s="220"/>
      <c r="AA30" s="220"/>
      <c r="AB30" s="220"/>
      <c r="AC30" s="220"/>
      <c r="AD30" s="220"/>
      <c r="AE30" s="220"/>
      <c r="AF30" s="220"/>
      <c r="AG30" s="220"/>
      <c r="AH30" s="220"/>
      <c r="AI30" s="219"/>
      <c r="AJ30" s="219"/>
    </row>
    <row r="31" spans="1:36" s="51" customFormat="1" ht="18" customHeight="1">
      <c r="A31" s="227" t="s">
        <v>969</v>
      </c>
      <c r="B31" s="226"/>
      <c r="C31" s="222"/>
      <c r="D31" s="222"/>
      <c r="E31" s="222"/>
      <c r="F31" s="222"/>
      <c r="G31" s="222"/>
      <c r="H31" s="222"/>
      <c r="I31" s="222"/>
      <c r="J31" s="222"/>
      <c r="K31" s="222"/>
      <c r="L31" s="221"/>
      <c r="M31" s="935">
        <f>+M30</f>
        <v>9752601.7867799699</v>
      </c>
      <c r="N31" s="220"/>
      <c r="O31" s="304"/>
      <c r="P31" s="220"/>
      <c r="Q31" s="220"/>
      <c r="R31" s="220"/>
      <c r="S31" s="220"/>
      <c r="T31" s="220"/>
      <c r="U31" s="220"/>
      <c r="V31" s="220"/>
      <c r="W31" s="220"/>
      <c r="X31" s="220"/>
      <c r="Y31" s="220"/>
      <c r="Z31" s="220"/>
      <c r="AA31" s="220"/>
      <c r="AB31" s="220"/>
      <c r="AC31" s="220"/>
      <c r="AD31" s="220"/>
      <c r="AE31" s="220"/>
      <c r="AF31" s="220"/>
      <c r="AG31" s="220"/>
      <c r="AH31" s="220"/>
      <c r="AI31" s="219"/>
      <c r="AJ31" s="219"/>
    </row>
    <row r="32" spans="1:36" s="51" customFormat="1" ht="18" customHeight="1">
      <c r="A32" s="224" t="str">
        <f>"Net Financial Position (NFP) as per "&amp;'Income Statement'!G3</f>
        <v>Net Financial Position (NFP) as per year X+4</v>
      </c>
      <c r="B32" s="220"/>
      <c r="C32" s="220"/>
      <c r="D32" s="220"/>
      <c r="E32" s="220"/>
      <c r="F32" s="220"/>
      <c r="G32" s="220"/>
      <c r="H32" s="220"/>
      <c r="I32" s="220"/>
      <c r="J32" s="220"/>
      <c r="K32" s="220"/>
      <c r="L32" s="220"/>
      <c r="M32" s="937">
        <f>+'Ratios '!G56</f>
        <v>2052824.0016000001</v>
      </c>
      <c r="N32" s="220"/>
      <c r="O32" s="304"/>
      <c r="P32" s="220"/>
      <c r="Q32" s="220"/>
      <c r="R32" s="220"/>
      <c r="S32" s="220"/>
      <c r="T32" s="220"/>
      <c r="U32" s="220"/>
      <c r="V32" s="220"/>
      <c r="W32" s="220"/>
      <c r="X32" s="220"/>
      <c r="Y32" s="220"/>
      <c r="Z32" s="220"/>
      <c r="AA32" s="220"/>
      <c r="AB32" s="220"/>
      <c r="AC32" s="220"/>
      <c r="AD32" s="220"/>
      <c r="AE32" s="220"/>
      <c r="AF32" s="220"/>
      <c r="AG32" s="220"/>
      <c r="AH32" s="220"/>
      <c r="AI32" s="219"/>
      <c r="AJ32" s="219"/>
    </row>
    <row r="33" spans="1:36" s="51" customFormat="1" ht="18" customHeight="1">
      <c r="A33" s="939" t="s">
        <v>968</v>
      </c>
      <c r="B33" s="223"/>
      <c r="C33" s="222"/>
      <c r="D33" s="222"/>
      <c r="E33" s="222"/>
      <c r="F33" s="222"/>
      <c r="G33" s="222"/>
      <c r="H33" s="222"/>
      <c r="I33" s="222"/>
      <c r="J33" s="222"/>
      <c r="K33" s="222"/>
      <c r="L33" s="221"/>
      <c r="M33" s="935">
        <f>+M31+M32</f>
        <v>11805425.788379971</v>
      </c>
      <c r="N33" s="220"/>
      <c r="O33" s="304"/>
      <c r="P33" s="220"/>
      <c r="Q33" s="220"/>
      <c r="R33" s="220"/>
      <c r="S33" s="220"/>
      <c r="T33" s="220"/>
      <c r="U33" s="220"/>
      <c r="V33" s="220"/>
      <c r="W33" s="220"/>
      <c r="X33" s="220"/>
      <c r="Y33" s="220"/>
      <c r="Z33" s="220"/>
      <c r="AA33" s="220"/>
      <c r="AB33" s="220"/>
      <c r="AC33" s="220"/>
      <c r="AD33" s="220"/>
      <c r="AE33" s="220"/>
      <c r="AF33" s="220"/>
      <c r="AG33" s="220"/>
      <c r="AH33" s="220"/>
      <c r="AI33" s="219"/>
      <c r="AJ33" s="219"/>
    </row>
    <row r="34" spans="1:36" s="51" customFormat="1" ht="18" customHeight="1">
      <c r="A34" s="939" t="s">
        <v>967</v>
      </c>
      <c r="B34" s="223"/>
      <c r="C34" s="222"/>
      <c r="D34" s="222"/>
      <c r="E34" s="222"/>
      <c r="F34" s="222"/>
      <c r="G34" s="222"/>
      <c r="H34" s="222"/>
      <c r="I34" s="222"/>
      <c r="J34" s="222"/>
      <c r="K34" s="222"/>
      <c r="L34" s="221"/>
      <c r="M34" s="938">
        <f>+M33/'Price-BV'!B7</f>
        <v>11805.425788379971</v>
      </c>
      <c r="N34" s="220"/>
      <c r="O34" s="304"/>
      <c r="P34" s="220"/>
      <c r="Q34" s="220"/>
      <c r="R34" s="220"/>
      <c r="S34" s="220"/>
      <c r="T34" s="220"/>
      <c r="U34" s="220"/>
      <c r="V34" s="220"/>
      <c r="W34" s="220"/>
      <c r="X34" s="220"/>
      <c r="Y34" s="220"/>
      <c r="Z34" s="220"/>
      <c r="AA34" s="220"/>
      <c r="AB34" s="220"/>
      <c r="AC34" s="220"/>
      <c r="AD34" s="220"/>
      <c r="AE34" s="220"/>
      <c r="AF34" s="220"/>
      <c r="AG34" s="220"/>
      <c r="AH34" s="220"/>
      <c r="AI34" s="219"/>
      <c r="AJ34" s="219"/>
    </row>
    <row r="35" spans="1:36" s="215" customFormat="1" ht="18" customHeight="1">
      <c r="A35" s="218"/>
      <c r="B35" s="217"/>
      <c r="C35" s="217"/>
      <c r="D35" s="217"/>
      <c r="E35" s="217"/>
      <c r="F35" s="217"/>
      <c r="G35" s="217"/>
      <c r="H35" s="217"/>
      <c r="I35" s="217"/>
      <c r="J35" s="217"/>
      <c r="K35" s="217"/>
      <c r="L35" s="217"/>
      <c r="M35" s="217"/>
      <c r="N35" s="217"/>
      <c r="O35" s="373"/>
      <c r="P35" s="217"/>
      <c r="Q35" s="217"/>
      <c r="R35" s="217"/>
      <c r="S35" s="217"/>
      <c r="T35" s="217"/>
      <c r="U35" s="217"/>
      <c r="V35" s="217"/>
      <c r="W35" s="217"/>
      <c r="X35" s="217"/>
      <c r="Y35" s="217"/>
      <c r="Z35" s="217"/>
      <c r="AA35" s="217"/>
      <c r="AB35" s="217"/>
      <c r="AC35" s="217"/>
      <c r="AD35" s="217"/>
      <c r="AE35" s="217"/>
      <c r="AF35" s="217"/>
      <c r="AG35" s="217"/>
      <c r="AH35" s="217"/>
      <c r="AI35" s="216"/>
      <c r="AJ35" s="216"/>
    </row>
    <row r="36" spans="1:36">
      <c r="B36" s="214"/>
    </row>
    <row r="37" spans="1:36">
      <c r="B37" s="214"/>
    </row>
    <row r="38" spans="1:36" ht="18.75" customHeight="1">
      <c r="A38" s="51"/>
    </row>
    <row r="39" spans="1:36">
      <c r="B39" s="214"/>
    </row>
    <row r="40" spans="1:36">
      <c r="B40" s="214"/>
    </row>
    <row r="41" spans="1:36" ht="15">
      <c r="B41" s="214"/>
      <c r="Q41" s="1383"/>
      <c r="R41" s="1384"/>
      <c r="S41" s="1384"/>
    </row>
  </sheetData>
  <mergeCells count="7">
    <mergeCell ref="A1:C1"/>
    <mergeCell ref="Q41:S41"/>
    <mergeCell ref="O26:O27"/>
    <mergeCell ref="O18:O19"/>
    <mergeCell ref="O20:O21"/>
    <mergeCell ref="O22:O23"/>
    <mergeCell ref="O24:O25"/>
  </mergeCells>
  <phoneticPr fontId="114" type="noConversion"/>
  <pageMargins left="0.74803149606299213" right="0.74803149606299213" top="0.98425196850393704" bottom="0.98425196850393704" header="0.51181102362204722" footer="0.51181102362204722"/>
  <pageSetup paperSize="9" scale="54" orientation="landscape" horizontalDpi="120" verticalDpi="6"/>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G62"/>
  <sheetViews>
    <sheetView showGridLines="0" topLeftCell="A40" zoomScale="85" zoomScaleNormal="85" zoomScalePageLayoutView="85" workbookViewId="0">
      <selection activeCell="D48" sqref="D48"/>
    </sheetView>
  </sheetViews>
  <sheetFormatPr defaultColWidth="8.85546875" defaultRowHeight="14.25"/>
  <cols>
    <col min="1" max="1" width="52.42578125" style="596" customWidth="1"/>
    <col min="2" max="2" width="41.140625" style="594" hidden="1" customWidth="1"/>
    <col min="3" max="3" width="15.7109375" style="594" bestFit="1" customWidth="1"/>
    <col min="4" max="4" width="14.140625" style="594" bestFit="1" customWidth="1"/>
    <col min="5" max="6" width="13.28515625" style="594" bestFit="1" customWidth="1"/>
    <col min="7" max="7" width="13.7109375" style="595" bestFit="1" customWidth="1"/>
    <col min="8" max="8" width="9.140625" style="595" customWidth="1"/>
    <col min="9" max="16384" width="8.85546875" style="595"/>
  </cols>
  <sheetData>
    <row r="1" spans="1:7" ht="18" customHeight="1">
      <c r="A1" s="944" t="s">
        <v>745</v>
      </c>
      <c r="B1" s="597"/>
      <c r="C1" s="595"/>
      <c r="D1" s="598"/>
      <c r="E1" s="598"/>
      <c r="F1" s="595"/>
    </row>
    <row r="2" spans="1:7" s="602" customFormat="1" ht="15.75" thickBot="1">
      <c r="A2" s="599"/>
      <c r="B2" s="600"/>
      <c r="C2" s="601"/>
      <c r="D2" s="601"/>
      <c r="E2" s="601"/>
      <c r="F2" s="601"/>
      <c r="G2" s="601"/>
    </row>
    <row r="3" spans="1:7" ht="15.75">
      <c r="A3" s="603"/>
      <c r="B3" s="604" t="s">
        <v>1324</v>
      </c>
      <c r="C3" s="616" t="s">
        <v>16</v>
      </c>
      <c r="D3" s="616" t="s">
        <v>17</v>
      </c>
      <c r="E3" s="616" t="s">
        <v>18</v>
      </c>
      <c r="F3" s="616" t="s">
        <v>19</v>
      </c>
      <c r="G3" s="616" t="s">
        <v>20</v>
      </c>
    </row>
    <row r="4" spans="1:7" ht="15.75" customHeight="1">
      <c r="A4" s="605" t="s">
        <v>774</v>
      </c>
      <c r="B4" s="606"/>
      <c r="C4" s="607"/>
      <c r="D4" s="610"/>
      <c r="E4" s="610"/>
      <c r="F4" s="610"/>
      <c r="G4" s="610"/>
    </row>
    <row r="5" spans="1:7" ht="12.75" customHeight="1">
      <c r="A5" s="608" t="s">
        <v>733</v>
      </c>
      <c r="B5" s="609">
        <v>0</v>
      </c>
      <c r="C5" s="1088">
        <v>44825</v>
      </c>
      <c r="D5" s="1088">
        <v>269163</v>
      </c>
      <c r="E5" s="1088">
        <v>1220214</v>
      </c>
      <c r="F5" s="1088">
        <v>1720665</v>
      </c>
      <c r="G5" s="1088">
        <v>2756964</v>
      </c>
    </row>
    <row r="6" spans="1:7" ht="15">
      <c r="A6" s="608" t="s">
        <v>776</v>
      </c>
      <c r="B6" s="609">
        <v>0</v>
      </c>
      <c r="C6" s="1089"/>
      <c r="D6" s="1090"/>
      <c r="E6" s="1090"/>
      <c r="F6" s="1090"/>
      <c r="G6" s="1090"/>
    </row>
    <row r="7" spans="1:7" ht="15">
      <c r="A7" s="621" t="s">
        <v>770</v>
      </c>
      <c r="B7" s="622">
        <v>0</v>
      </c>
      <c r="C7" s="1091"/>
      <c r="D7" s="1091"/>
      <c r="E7" s="1091"/>
      <c r="F7" s="1091"/>
      <c r="G7" s="1091"/>
    </row>
    <row r="8" spans="1:7" ht="15.75" thickBot="1">
      <c r="A8" s="657" t="s">
        <v>746</v>
      </c>
      <c r="B8" s="658">
        <f t="shared" ref="B8:G8" si="0">SUM(B5:B7)</f>
        <v>0</v>
      </c>
      <c r="C8" s="1092">
        <f t="shared" si="0"/>
        <v>44825</v>
      </c>
      <c r="D8" s="1092">
        <f t="shared" si="0"/>
        <v>269163</v>
      </c>
      <c r="E8" s="1092">
        <f t="shared" si="0"/>
        <v>1220214</v>
      </c>
      <c r="F8" s="1092">
        <f t="shared" si="0"/>
        <v>1720665</v>
      </c>
      <c r="G8" s="1092">
        <f t="shared" si="0"/>
        <v>2756964</v>
      </c>
    </row>
    <row r="9" spans="1:7" ht="15.75" thickTop="1">
      <c r="A9" s="617"/>
      <c r="B9" s="620"/>
      <c r="C9" s="1093"/>
      <c r="D9" s="1094"/>
      <c r="E9" s="1094"/>
      <c r="F9" s="1094"/>
      <c r="G9" s="1094"/>
    </row>
    <row r="10" spans="1:7" ht="15.75" customHeight="1">
      <c r="A10" s="605" t="s">
        <v>775</v>
      </c>
      <c r="B10" s="606"/>
      <c r="C10" s="1095"/>
      <c r="D10" s="1095"/>
      <c r="E10" s="1095"/>
      <c r="F10" s="1095"/>
      <c r="G10" s="1095"/>
    </row>
    <row r="11" spans="1:7" ht="15">
      <c r="A11" s="608" t="s">
        <v>771</v>
      </c>
      <c r="B11" s="609"/>
      <c r="C11" s="1090"/>
      <c r="D11" s="1090"/>
      <c r="E11" s="1090"/>
      <c r="F11" s="1090"/>
      <c r="G11" s="1090"/>
    </row>
    <row r="12" spans="1:7" ht="15">
      <c r="A12" s="608" t="s">
        <v>1320</v>
      </c>
      <c r="B12" s="609">
        <v>0</v>
      </c>
      <c r="C12" s="1096">
        <v>-2737</v>
      </c>
      <c r="D12" s="1088">
        <v>-16617</v>
      </c>
      <c r="E12" s="1088">
        <v>-70813</v>
      </c>
      <c r="F12" s="1088">
        <v>-100609</v>
      </c>
      <c r="G12" s="1088">
        <v>-172970</v>
      </c>
    </row>
    <row r="13" spans="1:7" ht="12.75" customHeight="1">
      <c r="A13" s="608" t="s">
        <v>778</v>
      </c>
      <c r="B13" s="609">
        <v>0</v>
      </c>
      <c r="C13" s="1096">
        <v>-1872</v>
      </c>
      <c r="D13" s="1088">
        <v>-11224</v>
      </c>
      <c r="E13" s="1088">
        <v>-44795</v>
      </c>
      <c r="F13" s="1088">
        <v>-68333</v>
      </c>
      <c r="G13" s="1088">
        <v>-125553</v>
      </c>
    </row>
    <row r="14" spans="1:7" ht="15.75" thickBot="1">
      <c r="A14" s="659" t="s">
        <v>746</v>
      </c>
      <c r="B14" s="660">
        <v>0</v>
      </c>
      <c r="C14" s="1097">
        <f>SUM(C11:C13)</f>
        <v>-4609</v>
      </c>
      <c r="D14" s="1097">
        <f>SUM(D11:D13)</f>
        <v>-27841</v>
      </c>
      <c r="E14" s="1097">
        <f>SUM(E11:E13)</f>
        <v>-115608</v>
      </c>
      <c r="F14" s="1097">
        <f>SUM(F11:F13)</f>
        <v>-168942</v>
      </c>
      <c r="G14" s="1097">
        <f>SUM(G11:G13)</f>
        <v>-298523</v>
      </c>
    </row>
    <row r="15" spans="1:7" ht="15.75" thickTop="1">
      <c r="A15" s="661"/>
      <c r="B15" s="662"/>
      <c r="C15" s="1098"/>
      <c r="D15" s="1098"/>
      <c r="E15" s="1098"/>
      <c r="F15" s="1098"/>
      <c r="G15" s="1098"/>
    </row>
    <row r="16" spans="1:7" ht="15.75" thickBot="1">
      <c r="A16" s="657" t="s">
        <v>1322</v>
      </c>
      <c r="B16" s="658">
        <f>B8-B14</f>
        <v>0</v>
      </c>
      <c r="C16" s="1092">
        <f>C8+C14</f>
        <v>40216</v>
      </c>
      <c r="D16" s="1092">
        <f>D8+D14</f>
        <v>241322</v>
      </c>
      <c r="E16" s="1092">
        <f>E8+E14</f>
        <v>1104606</v>
      </c>
      <c r="F16" s="1092">
        <f>F8+F14</f>
        <v>1551723</v>
      </c>
      <c r="G16" s="1092">
        <f>G8+G14</f>
        <v>2458441</v>
      </c>
    </row>
    <row r="17" spans="1:7" ht="15.75" thickTop="1">
      <c r="A17" s="617"/>
      <c r="B17" s="620"/>
      <c r="C17" s="1093"/>
      <c r="D17" s="1093"/>
      <c r="E17" s="1093"/>
      <c r="F17" s="1093"/>
      <c r="G17" s="1099"/>
    </row>
    <row r="18" spans="1:7" s="611" customFormat="1" ht="15">
      <c r="A18" s="605" t="s">
        <v>1321</v>
      </c>
      <c r="B18" s="606"/>
      <c r="C18" s="1088"/>
      <c r="D18" s="1088"/>
      <c r="E18" s="1088"/>
      <c r="F18" s="1088"/>
      <c r="G18" s="1088"/>
    </row>
    <row r="19" spans="1:7" s="611" customFormat="1" ht="15">
      <c r="A19" s="608" t="s">
        <v>732</v>
      </c>
      <c r="B19" s="609">
        <v>0</v>
      </c>
      <c r="C19" s="1088">
        <v>-15000</v>
      </c>
      <c r="D19" s="1088">
        <v>-15075</v>
      </c>
      <c r="E19" s="1088">
        <v>-45225</v>
      </c>
      <c r="F19" s="1088">
        <v>-60300</v>
      </c>
      <c r="G19" s="1088">
        <v>-90450</v>
      </c>
    </row>
    <row r="20" spans="1:7" s="611" customFormat="1" ht="15">
      <c r="A20" s="608" t="s">
        <v>866</v>
      </c>
      <c r="B20" s="609">
        <v>0</v>
      </c>
      <c r="C20" s="1088">
        <v>-40330</v>
      </c>
      <c r="D20" s="1088">
        <v>-76392</v>
      </c>
      <c r="E20" s="1088">
        <v>-273474</v>
      </c>
      <c r="F20" s="1088">
        <v>-402898</v>
      </c>
      <c r="G20" s="1088">
        <v>-540424</v>
      </c>
    </row>
    <row r="21" spans="1:7" s="611" customFormat="1" ht="15">
      <c r="A21" s="608" t="s">
        <v>777</v>
      </c>
      <c r="B21" s="609">
        <v>0</v>
      </c>
      <c r="C21" s="1088">
        <f>-(12500+926)</f>
        <v>-13426</v>
      </c>
      <c r="D21" s="1088">
        <f>-(85000+6296)</f>
        <v>-91296</v>
      </c>
      <c r="E21" s="1088">
        <f>-(230000+17037)</f>
        <v>-247037</v>
      </c>
      <c r="F21" s="1088">
        <f>-(328000+24296)</f>
        <v>-352296</v>
      </c>
      <c r="G21" s="1088">
        <f>-(450000+33333)</f>
        <v>-483333</v>
      </c>
    </row>
    <row r="22" spans="1:7" s="611" customFormat="1" ht="15">
      <c r="A22" s="608" t="s">
        <v>1323</v>
      </c>
      <c r="B22" s="609">
        <v>0</v>
      </c>
      <c r="C22" s="1088"/>
      <c r="D22" s="1088"/>
      <c r="E22" s="1088"/>
      <c r="F22" s="1088"/>
      <c r="G22" s="1088"/>
    </row>
    <row r="23" spans="1:7" ht="15.75" thickBot="1">
      <c r="A23" s="659" t="s">
        <v>746</v>
      </c>
      <c r="B23" s="660">
        <f t="shared" ref="B23:G23" si="1">SUM(B19:B22)</f>
        <v>0</v>
      </c>
      <c r="C23" s="1097">
        <f t="shared" si="1"/>
        <v>-68756</v>
      </c>
      <c r="D23" s="1097">
        <f t="shared" si="1"/>
        <v>-182763</v>
      </c>
      <c r="E23" s="1097">
        <f t="shared" si="1"/>
        <v>-565736</v>
      </c>
      <c r="F23" s="1097">
        <f t="shared" si="1"/>
        <v>-815494</v>
      </c>
      <c r="G23" s="1097">
        <f t="shared" si="1"/>
        <v>-1114207</v>
      </c>
    </row>
    <row r="24" spans="1:7" ht="15.75" customHeight="1" thickTop="1">
      <c r="A24" s="618"/>
      <c r="B24" s="619"/>
      <c r="C24" s="1100"/>
      <c r="D24" s="1100"/>
      <c r="E24" s="1100"/>
      <c r="F24" s="1100"/>
      <c r="G24" s="1101"/>
    </row>
    <row r="25" spans="1:7" ht="15.75" thickBot="1">
      <c r="A25" s="657" t="s">
        <v>725</v>
      </c>
      <c r="B25" s="658">
        <f>B8-(B23+B14)</f>
        <v>0</v>
      </c>
      <c r="C25" s="1092">
        <f>C8+(C23+C14)</f>
        <v>-28540</v>
      </c>
      <c r="D25" s="1092">
        <f>D8+(D23+D14)</f>
        <v>58559</v>
      </c>
      <c r="E25" s="1092">
        <f>E8+(E23+E14)</f>
        <v>538870</v>
      </c>
      <c r="F25" s="1092">
        <f>F8+(F23+F14)</f>
        <v>736229</v>
      </c>
      <c r="G25" s="1092">
        <f>G8+(G23+G14)</f>
        <v>1344234</v>
      </c>
    </row>
    <row r="26" spans="1:7" ht="15.75" thickTop="1">
      <c r="A26" s="623"/>
      <c r="B26" s="624"/>
      <c r="C26" s="1102"/>
      <c r="D26" s="1102"/>
      <c r="E26" s="1102"/>
      <c r="F26" s="1102"/>
      <c r="G26" s="1102"/>
    </row>
    <row r="27" spans="1:7" ht="15">
      <c r="A27" s="608" t="s">
        <v>1548</v>
      </c>
      <c r="B27" s="609">
        <v>0</v>
      </c>
      <c r="C27" s="1088"/>
      <c r="D27" s="1088"/>
      <c r="E27" s="1088"/>
      <c r="F27" s="1088"/>
      <c r="G27" s="1088"/>
    </row>
    <row r="28" spans="1:7" ht="15">
      <c r="A28" s="608" t="s">
        <v>1731</v>
      </c>
      <c r="B28" s="609">
        <v>0</v>
      </c>
      <c r="C28" s="1088">
        <v>-24500</v>
      </c>
      <c r="D28" s="1088">
        <v>-49000</v>
      </c>
      <c r="E28" s="1088">
        <v>-78000</v>
      </c>
      <c r="F28" s="1088">
        <v>-104800</v>
      </c>
      <c r="G28" s="1088">
        <v>-142000</v>
      </c>
    </row>
    <row r="29" spans="1:7" ht="15">
      <c r="A29" s="608" t="s">
        <v>1732</v>
      </c>
      <c r="B29" s="622"/>
      <c r="C29" s="1258">
        <v>0</v>
      </c>
      <c r="D29" s="1258">
        <v>0</v>
      </c>
      <c r="E29" s="1258">
        <v>0</v>
      </c>
      <c r="F29" s="1258">
        <v>0</v>
      </c>
      <c r="G29" s="1258">
        <v>0</v>
      </c>
    </row>
    <row r="30" spans="1:7" ht="15">
      <c r="A30" s="621" t="s">
        <v>1165</v>
      </c>
      <c r="B30" s="622">
        <v>0</v>
      </c>
      <c r="C30" s="1096"/>
      <c r="D30" s="1096"/>
      <c r="E30" s="1096"/>
      <c r="F30" s="1096"/>
      <c r="G30" s="1096"/>
    </row>
    <row r="31" spans="1:7" ht="15.75" thickBot="1">
      <c r="A31" s="657" t="s">
        <v>734</v>
      </c>
      <c r="B31" s="658">
        <f>B25-SUM(B27:B30)</f>
        <v>0</v>
      </c>
      <c r="C31" s="1092">
        <f>C25+SUM(C27:C30)</f>
        <v>-53040</v>
      </c>
      <c r="D31" s="1092">
        <f>D25+SUM(D27:D30)</f>
        <v>9559</v>
      </c>
      <c r="E31" s="1092">
        <f>E25+SUM(E27:E30)</f>
        <v>460870</v>
      </c>
      <c r="F31" s="1092">
        <f>F25+SUM(F27:F30)</f>
        <v>631429</v>
      </c>
      <c r="G31" s="1092">
        <f>G25+SUM(G27:G30)</f>
        <v>1202234</v>
      </c>
    </row>
    <row r="32" spans="1:7" ht="15.75" thickTop="1">
      <c r="A32" s="617"/>
      <c r="B32" s="620"/>
      <c r="C32" s="1103"/>
      <c r="D32" s="1103"/>
      <c r="E32" s="1103"/>
      <c r="F32" s="1103"/>
      <c r="G32" s="1103"/>
    </row>
    <row r="33" spans="1:7" ht="15">
      <c r="A33" s="605" t="s">
        <v>399</v>
      </c>
      <c r="B33" s="606"/>
      <c r="C33" s="1104"/>
      <c r="D33" s="1104"/>
      <c r="E33" s="1104"/>
      <c r="F33" s="1104"/>
      <c r="G33" s="1104"/>
    </row>
    <row r="34" spans="1:7" ht="15">
      <c r="A34" s="612" t="s">
        <v>320</v>
      </c>
      <c r="B34" s="613">
        <v>0</v>
      </c>
      <c r="C34" s="1088">
        <v>0</v>
      </c>
      <c r="D34" s="1088">
        <v>0</v>
      </c>
      <c r="E34" s="1088">
        <v>0</v>
      </c>
      <c r="F34" s="1088">
        <v>0</v>
      </c>
      <c r="G34" s="1088">
        <v>0</v>
      </c>
    </row>
    <row r="35" spans="1:7" ht="15">
      <c r="A35" s="612" t="s">
        <v>321</v>
      </c>
      <c r="B35" s="613">
        <v>0</v>
      </c>
      <c r="C35" s="1088">
        <v>0</v>
      </c>
      <c r="D35" s="1088">
        <v>0</v>
      </c>
      <c r="E35" s="1088">
        <v>0</v>
      </c>
      <c r="F35" s="1088">
        <v>0</v>
      </c>
      <c r="G35" s="1088">
        <v>0</v>
      </c>
    </row>
    <row r="36" spans="1:7" ht="15">
      <c r="A36" s="612" t="s">
        <v>322</v>
      </c>
      <c r="B36" s="613">
        <v>0</v>
      </c>
      <c r="C36" s="1088">
        <v>0</v>
      </c>
      <c r="D36" s="1088">
        <v>0</v>
      </c>
      <c r="E36" s="1088">
        <v>0</v>
      </c>
      <c r="F36" s="1088">
        <v>0</v>
      </c>
      <c r="G36" s="1088">
        <v>0</v>
      </c>
    </row>
    <row r="37" spans="1:7" ht="15.75" thickBot="1">
      <c r="A37" s="659" t="s">
        <v>1212</v>
      </c>
      <c r="B37" s="660">
        <f t="shared" ref="B37:G37" si="2">SUM(B34:B36)</f>
        <v>0</v>
      </c>
      <c r="C37" s="1097">
        <f t="shared" si="2"/>
        <v>0</v>
      </c>
      <c r="D37" s="1097">
        <f t="shared" si="2"/>
        <v>0</v>
      </c>
      <c r="E37" s="1097">
        <f t="shared" si="2"/>
        <v>0</v>
      </c>
      <c r="F37" s="1097">
        <f t="shared" si="2"/>
        <v>0</v>
      </c>
      <c r="G37" s="1097">
        <f t="shared" si="2"/>
        <v>0</v>
      </c>
    </row>
    <row r="38" spans="1:7" ht="15.75" thickTop="1">
      <c r="A38" s="617"/>
      <c r="B38" s="620"/>
      <c r="C38" s="1103"/>
      <c r="D38" s="1103"/>
      <c r="E38" s="1103"/>
      <c r="F38" s="1103"/>
      <c r="G38" s="1103"/>
    </row>
    <row r="39" spans="1:7" ht="15">
      <c r="A39" s="605" t="s">
        <v>1243</v>
      </c>
      <c r="B39" s="606"/>
      <c r="C39" s="1105"/>
      <c r="D39" s="1105"/>
      <c r="E39" s="1105"/>
      <c r="F39" s="1105"/>
      <c r="G39" s="1105"/>
    </row>
    <row r="40" spans="1:7" ht="15">
      <c r="A40" s="612" t="s">
        <v>1244</v>
      </c>
      <c r="B40" s="613">
        <v>0</v>
      </c>
      <c r="C40" s="1088">
        <v>0</v>
      </c>
      <c r="D40" s="1088">
        <v>0</v>
      </c>
      <c r="E40" s="1088">
        <v>0</v>
      </c>
      <c r="F40" s="1088">
        <v>0</v>
      </c>
      <c r="G40" s="1088">
        <v>0</v>
      </c>
    </row>
    <row r="41" spans="1:7" ht="15">
      <c r="A41" s="612" t="s">
        <v>1245</v>
      </c>
      <c r="B41" s="613">
        <v>0</v>
      </c>
      <c r="C41" s="1088">
        <v>0</v>
      </c>
      <c r="D41" s="1088">
        <v>0</v>
      </c>
      <c r="E41" s="1088">
        <v>0</v>
      </c>
      <c r="F41" s="1088">
        <v>0</v>
      </c>
      <c r="G41" s="1088">
        <v>0</v>
      </c>
    </row>
    <row r="42" spans="1:7" ht="15">
      <c r="A42" s="612" t="s">
        <v>1246</v>
      </c>
      <c r="B42" s="613">
        <v>0</v>
      </c>
      <c r="C42" s="1088">
        <v>0</v>
      </c>
      <c r="D42" s="1088">
        <v>0</v>
      </c>
      <c r="E42" s="1088">
        <v>0</v>
      </c>
      <c r="F42" s="1088">
        <v>0</v>
      </c>
      <c r="G42" s="1088">
        <v>0</v>
      </c>
    </row>
    <row r="43" spans="1:7" ht="15.75" thickBot="1">
      <c r="A43" s="659" t="s">
        <v>1212</v>
      </c>
      <c r="B43" s="660">
        <f t="shared" ref="B43:G43" si="3">SUM(B40:B42)</f>
        <v>0</v>
      </c>
      <c r="C43" s="1097">
        <f t="shared" si="3"/>
        <v>0</v>
      </c>
      <c r="D43" s="1097">
        <f t="shared" si="3"/>
        <v>0</v>
      </c>
      <c r="E43" s="1097">
        <f t="shared" si="3"/>
        <v>0</v>
      </c>
      <c r="F43" s="1097">
        <f t="shared" si="3"/>
        <v>0</v>
      </c>
      <c r="G43" s="1097">
        <f t="shared" si="3"/>
        <v>0</v>
      </c>
    </row>
    <row r="44" spans="1:7" ht="15.75" thickTop="1">
      <c r="A44" s="605"/>
      <c r="B44" s="606"/>
      <c r="C44" s="1105"/>
      <c r="D44" s="1105"/>
      <c r="E44" s="1105"/>
      <c r="F44" s="1105"/>
      <c r="G44" s="1105"/>
    </row>
    <row r="45" spans="1:7" ht="15">
      <c r="A45" s="605" t="s">
        <v>773</v>
      </c>
      <c r="B45" s="606"/>
      <c r="C45" s="1104"/>
      <c r="D45" s="1104"/>
      <c r="E45" s="1104"/>
      <c r="F45" s="1104"/>
      <c r="G45" s="1104"/>
    </row>
    <row r="46" spans="1:7" ht="15">
      <c r="A46" s="608" t="s">
        <v>780</v>
      </c>
      <c r="B46" s="609">
        <v>0</v>
      </c>
      <c r="C46" s="1088"/>
      <c r="D46" s="1088"/>
      <c r="E46" s="1088"/>
      <c r="F46" s="1088"/>
      <c r="G46" s="1088"/>
    </row>
    <row r="47" spans="1:7" ht="15">
      <c r="A47" s="608" t="s">
        <v>772</v>
      </c>
      <c r="B47" s="609">
        <v>0</v>
      </c>
      <c r="C47" s="1088"/>
      <c r="D47" s="1088"/>
      <c r="E47" s="1088"/>
      <c r="F47" s="1088"/>
      <c r="G47" s="1088"/>
    </row>
    <row r="48" spans="1:7" ht="15">
      <c r="A48" s="608" t="s">
        <v>779</v>
      </c>
      <c r="B48" s="609">
        <v>0</v>
      </c>
      <c r="C48" s="1088">
        <v>-11124</v>
      </c>
      <c r="D48" s="1276">
        <f>-7922-2845.85</f>
        <v>-10767.85</v>
      </c>
      <c r="E48" s="1276">
        <f>-5977-1927</f>
        <v>-7904</v>
      </c>
      <c r="F48" s="1276">
        <f>-3914-987</f>
        <v>-4901</v>
      </c>
      <c r="G48" s="1276">
        <f>-1724-23</f>
        <v>-1747</v>
      </c>
    </row>
    <row r="49" spans="1:7" ht="15">
      <c r="A49" s="608" t="s">
        <v>781</v>
      </c>
      <c r="B49" s="609">
        <v>0</v>
      </c>
      <c r="C49" s="1088"/>
      <c r="D49" s="1088"/>
      <c r="E49" s="1088"/>
      <c r="F49" s="1088"/>
      <c r="G49" s="1088"/>
    </row>
    <row r="50" spans="1:7" ht="15.75" thickBot="1">
      <c r="A50" s="659" t="s">
        <v>782</v>
      </c>
      <c r="B50" s="660">
        <f t="shared" ref="B50:G50" si="4">SUM(B46:B49)</f>
        <v>0</v>
      </c>
      <c r="C50" s="1097">
        <f t="shared" si="4"/>
        <v>-11124</v>
      </c>
      <c r="D50" s="1097">
        <f t="shared" si="4"/>
        <v>-10767.85</v>
      </c>
      <c r="E50" s="1097">
        <f t="shared" si="4"/>
        <v>-7904</v>
      </c>
      <c r="F50" s="1097">
        <f t="shared" si="4"/>
        <v>-4901</v>
      </c>
      <c r="G50" s="1097">
        <f t="shared" si="4"/>
        <v>-1747</v>
      </c>
    </row>
    <row r="51" spans="1:7" ht="15.75" customHeight="1" thickTop="1">
      <c r="A51" s="605"/>
      <c r="B51" s="606"/>
      <c r="C51" s="1105"/>
      <c r="D51" s="1105"/>
      <c r="E51" s="1105"/>
      <c r="F51" s="1105"/>
      <c r="G51" s="1105"/>
    </row>
    <row r="52" spans="1:7" ht="36.75" customHeight="1" thickBot="1">
      <c r="A52" s="659" t="s">
        <v>1547</v>
      </c>
      <c r="B52" s="660">
        <v>0</v>
      </c>
      <c r="C52" s="1097"/>
      <c r="D52" s="1097"/>
      <c r="E52" s="1097"/>
      <c r="F52" s="1097"/>
      <c r="G52" s="1097"/>
    </row>
    <row r="53" spans="1:7" ht="15.75" thickTop="1">
      <c r="A53" s="605"/>
      <c r="B53" s="606"/>
      <c r="C53" s="1105"/>
      <c r="D53" s="1105"/>
      <c r="E53" s="1105"/>
      <c r="F53" s="1105"/>
      <c r="G53" s="1105"/>
    </row>
    <row r="54" spans="1:7" ht="15.75" thickBot="1">
      <c r="A54" s="659" t="s">
        <v>783</v>
      </c>
      <c r="B54" s="660">
        <v>0</v>
      </c>
      <c r="C54" s="1097"/>
      <c r="D54" s="1097"/>
      <c r="E54" s="1097"/>
      <c r="F54" s="1097"/>
      <c r="G54" s="1097"/>
    </row>
    <row r="55" spans="1:7" ht="15.75" thickTop="1">
      <c r="A55" s="605"/>
      <c r="B55" s="606"/>
      <c r="C55" s="1105"/>
      <c r="D55" s="1105"/>
      <c r="E55" s="1105"/>
      <c r="F55" s="1105"/>
      <c r="G55" s="1105"/>
    </row>
    <row r="56" spans="1:7" ht="30.75" thickBot="1">
      <c r="A56" s="657" t="s">
        <v>323</v>
      </c>
      <c r="B56" s="658">
        <f t="shared" ref="B56:G56" si="5">B31+B37+B43+B50+B52+B54</f>
        <v>0</v>
      </c>
      <c r="C56" s="1092">
        <f>C31+C37+C43+C50+C52+C54</f>
        <v>-64164</v>
      </c>
      <c r="D56" s="1092">
        <f t="shared" si="5"/>
        <v>-1208.8500000000004</v>
      </c>
      <c r="E56" s="1092">
        <f t="shared" si="5"/>
        <v>452966</v>
      </c>
      <c r="F56" s="1092">
        <f t="shared" si="5"/>
        <v>626528</v>
      </c>
      <c r="G56" s="1092">
        <f t="shared" si="5"/>
        <v>1200487</v>
      </c>
    </row>
    <row r="57" spans="1:7" ht="15.75" thickTop="1">
      <c r="A57" s="605"/>
      <c r="B57" s="606"/>
      <c r="C57" s="1105"/>
      <c r="D57" s="1105"/>
      <c r="E57" s="1105"/>
      <c r="F57" s="1105"/>
      <c r="G57" s="1105"/>
    </row>
    <row r="58" spans="1:7" ht="15">
      <c r="A58" s="608" t="s">
        <v>784</v>
      </c>
      <c r="B58" s="609">
        <v>0</v>
      </c>
      <c r="C58" s="1088"/>
      <c r="D58" s="1088"/>
      <c r="E58" s="1088">
        <v>-39217</v>
      </c>
      <c r="F58" s="1088">
        <v>-62751</v>
      </c>
      <c r="G58" s="1088">
        <v>-120051</v>
      </c>
    </row>
    <row r="59" spans="1:7" ht="15">
      <c r="A59" s="605"/>
      <c r="B59" s="606"/>
      <c r="C59" s="1105"/>
      <c r="D59" s="1105"/>
      <c r="E59" s="1105"/>
      <c r="F59" s="1105"/>
      <c r="G59" s="1105"/>
    </row>
    <row r="60" spans="1:7" ht="15.75" thickBot="1">
      <c r="A60" s="657" t="s">
        <v>785</v>
      </c>
      <c r="B60" s="658">
        <f t="shared" ref="B60:G60" si="6">B56+B58</f>
        <v>0</v>
      </c>
      <c r="C60" s="1092">
        <f t="shared" si="6"/>
        <v>-64164</v>
      </c>
      <c r="D60" s="1092">
        <f t="shared" si="6"/>
        <v>-1208.8500000000004</v>
      </c>
      <c r="E60" s="1092">
        <f t="shared" si="6"/>
        <v>413749</v>
      </c>
      <c r="F60" s="1092">
        <f t="shared" si="6"/>
        <v>563777</v>
      </c>
      <c r="G60" s="1092">
        <f t="shared" si="6"/>
        <v>1080436</v>
      </c>
    </row>
    <row r="61" spans="1:7" ht="15.75" thickTop="1">
      <c r="A61" s="614"/>
      <c r="B61" s="614"/>
      <c r="C61" s="615"/>
      <c r="D61" s="615"/>
      <c r="E61" s="615"/>
      <c r="F61" s="615"/>
    </row>
    <row r="62" spans="1:7" ht="15">
      <c r="A62" s="614"/>
      <c r="B62" s="615"/>
      <c r="C62" s="615"/>
      <c r="D62" s="615"/>
      <c r="E62" s="615"/>
      <c r="F62" s="615"/>
    </row>
  </sheetData>
  <phoneticPr fontId="68" type="noConversion"/>
  <hyperlinks>
    <hyperlink ref="A16" r:id="rId1" xr:uid="{00000000-0004-0000-0200-000000000000}"/>
    <hyperlink ref="A25" r:id="rId2" xr:uid="{00000000-0004-0000-0200-000001000000}"/>
    <hyperlink ref="A31" r:id="rId3" xr:uid="{00000000-0004-0000-0200-000002000000}"/>
  </hyperlinks>
  <pageMargins left="0.23" right="0.16" top="0.75000000000000011" bottom="0.75000000000000011" header="0.30000000000000004" footer="0.30000000000000004"/>
  <pageSetup paperSize="9" scale="50" orientation="portrait"/>
  <drawing r:id="rId4"/>
  <legacy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G31"/>
  <sheetViews>
    <sheetView showGridLines="0" topLeftCell="A13" workbookViewId="0">
      <selection activeCell="C9" sqref="C9"/>
    </sheetView>
  </sheetViews>
  <sheetFormatPr defaultColWidth="8.85546875" defaultRowHeight="12.75"/>
  <cols>
    <col min="1" max="1" width="5.42578125" customWidth="1"/>
    <col min="2" max="2" width="24.42578125" customWidth="1"/>
    <col min="3" max="7" width="19.28515625" customWidth="1"/>
  </cols>
  <sheetData>
    <row r="1" spans="2:7" ht="15.75">
      <c r="B1" s="137"/>
    </row>
    <row r="3" spans="2:7">
      <c r="B3" s="278" t="s">
        <v>177</v>
      </c>
    </row>
    <row r="4" spans="2:7" ht="15">
      <c r="C4" s="305" t="s">
        <v>728</v>
      </c>
      <c r="D4" s="305" t="s">
        <v>727</v>
      </c>
      <c r="E4" s="305" t="s">
        <v>1317</v>
      </c>
      <c r="F4" s="305" t="s">
        <v>1318</v>
      </c>
      <c r="G4" s="305" t="s">
        <v>372</v>
      </c>
    </row>
    <row r="5" spans="2:7">
      <c r="B5" s="21" t="s">
        <v>985</v>
      </c>
      <c r="C5" s="261">
        <f>+'Price-BV'!B16</f>
        <v>-64.164000000000001</v>
      </c>
      <c r="D5" s="261">
        <f>+'Price-BV'!C16</f>
        <v>-1.2088500000000004</v>
      </c>
      <c r="E5" s="261">
        <f>+'Price-BV'!D16</f>
        <v>413.74900000000002</v>
      </c>
      <c r="F5" s="261">
        <f>+'Price-BV'!E16</f>
        <v>563.77700000000004</v>
      </c>
      <c r="G5" s="261">
        <f>+'Price-BV'!F16</f>
        <v>1080.4359999999999</v>
      </c>
    </row>
    <row r="6" spans="2:7">
      <c r="B6" t="s">
        <v>346</v>
      </c>
      <c r="C6" s="237">
        <f>+'Price-BV'!B18</f>
        <v>0</v>
      </c>
      <c r="D6" s="237">
        <f>+'Price-BV'!C18</f>
        <v>0</v>
      </c>
      <c r="E6" s="237">
        <f>+'Price-BV'!D18</f>
        <v>0</v>
      </c>
      <c r="F6" s="237">
        <f>+'Price-BV'!E18</f>
        <v>0</v>
      </c>
      <c r="G6" s="237">
        <f>+'Price-BV'!F18</f>
        <v>0</v>
      </c>
    </row>
    <row r="7" spans="2:7">
      <c r="B7" s="21" t="s">
        <v>658</v>
      </c>
      <c r="C7" s="261">
        <f>+C5*C6</f>
        <v>0</v>
      </c>
      <c r="D7" s="261">
        <f>+D5*D6</f>
        <v>0</v>
      </c>
      <c r="E7" s="261">
        <f>+E5*E6</f>
        <v>0</v>
      </c>
      <c r="F7" s="261">
        <f>+F5*F6</f>
        <v>0</v>
      </c>
      <c r="G7" s="261">
        <f>+G5*G6</f>
        <v>0</v>
      </c>
    </row>
    <row r="8" spans="2:7">
      <c r="B8" s="21" t="s">
        <v>1023</v>
      </c>
      <c r="C8" s="261">
        <f>'Other input data'!$B$17</f>
        <v>0.88</v>
      </c>
      <c r="D8" s="261">
        <f>'Other input data'!$B$17</f>
        <v>0.88</v>
      </c>
      <c r="E8" s="261">
        <f>'Other input data'!$B$17</f>
        <v>0.88</v>
      </c>
      <c r="F8" s="261">
        <f>'Other input data'!$B$17</f>
        <v>0.88</v>
      </c>
      <c r="G8" s="261">
        <f>'Other input data'!$B$17</f>
        <v>0.88</v>
      </c>
    </row>
    <row r="9" spans="2:7">
      <c r="B9" s="21" t="s">
        <v>976</v>
      </c>
      <c r="C9" s="275">
        <v>3.7999999999999999E-2</v>
      </c>
    </row>
    <row r="10" spans="2:7">
      <c r="B10" s="21" t="s">
        <v>1024</v>
      </c>
      <c r="C10" s="276">
        <v>5.5E-2</v>
      </c>
    </row>
    <row r="11" spans="2:7">
      <c r="B11" s="21" t="s">
        <v>1025</v>
      </c>
      <c r="C11" s="276">
        <v>0.06</v>
      </c>
    </row>
    <row r="12" spans="2:7">
      <c r="C12" s="245"/>
    </row>
    <row r="13" spans="2:7" ht="15.75">
      <c r="B13" s="126" t="s">
        <v>325</v>
      </c>
      <c r="C13" s="245"/>
    </row>
    <row r="14" spans="2:7">
      <c r="C14" s="245"/>
    </row>
    <row r="15" spans="2:7" ht="15">
      <c r="B15" s="279" t="s">
        <v>324</v>
      </c>
      <c r="C15" s="262">
        <f>+C9+C10*C8</f>
        <v>8.6400000000000005E-2</v>
      </c>
    </row>
    <row r="16" spans="2:7">
      <c r="B16" t="s">
        <v>975</v>
      </c>
      <c r="C16" s="261">
        <f>+(C7*(1+C11))/(C15-C11)</f>
        <v>0</v>
      </c>
    </row>
    <row r="18" spans="2:4">
      <c r="B18" s="260" t="s">
        <v>326</v>
      </c>
      <c r="C18" s="260" t="s">
        <v>327</v>
      </c>
    </row>
    <row r="19" spans="2:4">
      <c r="B19" s="259">
        <v>0.08</v>
      </c>
      <c r="C19" s="258">
        <f t="shared" ref="C19:C27" si="0">+$C$7*(1+B19)/($C$15-B19)</f>
        <v>0</v>
      </c>
    </row>
    <row r="20" spans="2:4">
      <c r="B20" s="259">
        <v>7.0000000000000007E-2</v>
      </c>
      <c r="C20" s="258">
        <f t="shared" si="0"/>
        <v>0</v>
      </c>
    </row>
    <row r="21" spans="2:4">
      <c r="B21" s="259">
        <v>0.06</v>
      </c>
      <c r="C21" s="258">
        <f t="shared" si="0"/>
        <v>0</v>
      </c>
    </row>
    <row r="22" spans="2:4">
      <c r="B22" s="259">
        <v>0.05</v>
      </c>
      <c r="C22" s="258">
        <f t="shared" si="0"/>
        <v>0</v>
      </c>
    </row>
    <row r="23" spans="2:4">
      <c r="B23" s="259">
        <v>0.04</v>
      </c>
      <c r="C23" s="258">
        <f t="shared" si="0"/>
        <v>0</v>
      </c>
    </row>
    <row r="24" spans="2:4">
      <c r="B24" s="259">
        <v>0.03</v>
      </c>
      <c r="C24" s="258">
        <f t="shared" si="0"/>
        <v>0</v>
      </c>
    </row>
    <row r="25" spans="2:4">
      <c r="B25" s="259">
        <v>0.02</v>
      </c>
      <c r="C25" s="258">
        <f t="shared" si="0"/>
        <v>0</v>
      </c>
    </row>
    <row r="26" spans="2:4">
      <c r="B26" s="259">
        <v>0.01</v>
      </c>
      <c r="C26" s="258">
        <f t="shared" si="0"/>
        <v>0</v>
      </c>
    </row>
    <row r="27" spans="2:4">
      <c r="B27" s="259">
        <v>0</v>
      </c>
      <c r="C27" s="258">
        <f t="shared" si="0"/>
        <v>0</v>
      </c>
    </row>
    <row r="30" spans="2:4">
      <c r="B30" s="257">
        <v>7.0749999999999993E-2</v>
      </c>
      <c r="C30" s="256">
        <f>+$C$7*(1+B30)/($C$15-B30)</f>
        <v>0</v>
      </c>
      <c r="D30" s="125" t="s">
        <v>328</v>
      </c>
    </row>
    <row r="31" spans="2:4">
      <c r="B31" s="255">
        <v>6.7320000000000005E-2</v>
      </c>
      <c r="C31" s="254">
        <f>+$C$7*(1+B31)/($C$15-B31)</f>
        <v>0</v>
      </c>
      <c r="D31" s="125" t="s">
        <v>974</v>
      </c>
    </row>
  </sheetData>
  <phoneticPr fontId="114" type="noConversion"/>
  <pageMargins left="0.74803149606299213" right="0.74803149606299213" top="0.98425196850393704" bottom="0.98425196850393704" header="0.51181102362204722" footer="0.51181102362204722"/>
  <pageSetup paperSize="9" scale="97" orientation="landscape" horizontalDpi="4294967294"/>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31"/>
  <sheetViews>
    <sheetView showGridLines="0" zoomScale="85" zoomScaleNormal="85" zoomScalePageLayoutView="85" workbookViewId="0">
      <selection activeCell="C26" sqref="C26:L26"/>
    </sheetView>
  </sheetViews>
  <sheetFormatPr defaultColWidth="8.85546875" defaultRowHeight="18" customHeight="1"/>
  <cols>
    <col min="1" max="1" width="33" customWidth="1"/>
    <col min="2" max="2" width="9.42578125" customWidth="1"/>
    <col min="3" max="3" width="10.140625" customWidth="1"/>
    <col min="4" max="4" width="9.140625" customWidth="1"/>
    <col min="5" max="5" width="10.140625" customWidth="1"/>
    <col min="6" max="6" width="9.140625" customWidth="1"/>
    <col min="7" max="7" width="10.140625" customWidth="1"/>
    <col min="8" max="8" width="9.140625" customWidth="1"/>
    <col min="9" max="9" width="10.140625" customWidth="1"/>
    <col min="10" max="10" width="9.140625" customWidth="1"/>
    <col min="11" max="11" width="10.140625" customWidth="1"/>
    <col min="12" max="12" width="9.140625" customWidth="1"/>
    <col min="13" max="13" width="5" customWidth="1"/>
    <col min="14" max="14" width="49.7109375" style="11" customWidth="1"/>
  </cols>
  <sheetData>
    <row r="1" spans="1:14" ht="18" customHeight="1">
      <c r="A1" s="1383" t="s">
        <v>1103</v>
      </c>
      <c r="B1" s="1384"/>
      <c r="C1" s="1384"/>
    </row>
    <row r="3" spans="1:14" s="36" customFormat="1" ht="18" customHeight="1">
      <c r="A3" s="835" t="s">
        <v>329</v>
      </c>
      <c r="N3" s="374"/>
    </row>
    <row r="4" spans="1:14" ht="15.75">
      <c r="A4" s="137"/>
      <c r="G4" s="36"/>
      <c r="H4" s="36"/>
    </row>
    <row r="5" spans="1:14" ht="24.75" customHeight="1">
      <c r="C5" s="280" t="s">
        <v>992</v>
      </c>
      <c r="E5" s="281" t="s">
        <v>993</v>
      </c>
      <c r="G5" s="282" t="s">
        <v>994</v>
      </c>
      <c r="H5" s="36"/>
      <c r="I5" s="283" t="s">
        <v>995</v>
      </c>
    </row>
    <row r="6" spans="1:14" ht="48.75" customHeight="1">
      <c r="A6" s="74" t="s">
        <v>330</v>
      </c>
      <c r="C6" s="284" t="s">
        <v>348</v>
      </c>
      <c r="E6" s="285" t="s">
        <v>349</v>
      </c>
      <c r="G6" s="286" t="s">
        <v>336</v>
      </c>
      <c r="H6" s="36"/>
      <c r="I6" s="287" t="s">
        <v>337</v>
      </c>
    </row>
    <row r="7" spans="1:14" ht="17.25" customHeight="1">
      <c r="C7" s="273" t="s">
        <v>982</v>
      </c>
      <c r="E7" s="273" t="s">
        <v>981</v>
      </c>
      <c r="G7" s="272" t="s">
        <v>980</v>
      </c>
      <c r="H7" s="36"/>
      <c r="I7" s="272" t="s">
        <v>979</v>
      </c>
    </row>
    <row r="8" spans="1:14" ht="3.75" hidden="1" customHeight="1"/>
    <row r="9" spans="1:14" s="12" customFormat="1" ht="26.25" customHeight="1">
      <c r="A9" s="271"/>
      <c r="B9" s="805" t="s">
        <v>347</v>
      </c>
      <c r="C9" s="277" t="str">
        <f>+'Income Statement'!C3</f>
        <v>year X</v>
      </c>
      <c r="D9" s="270" t="s">
        <v>335</v>
      </c>
      <c r="E9" s="277" t="str">
        <f>+'Income Statement'!D3</f>
        <v>year X+1</v>
      </c>
      <c r="F9" s="270" t="s">
        <v>335</v>
      </c>
      <c r="G9" s="277" t="str">
        <f>+'Income Statement'!E3</f>
        <v>year X+2</v>
      </c>
      <c r="H9" s="270" t="s">
        <v>335</v>
      </c>
      <c r="I9" s="277" t="str">
        <f>'Other input data'!F4</f>
        <v>31/12/X+3</v>
      </c>
      <c r="J9" s="270" t="s">
        <v>335</v>
      </c>
      <c r="K9" s="277" t="str">
        <f>'Other input data'!G4</f>
        <v>31/12/X+4</v>
      </c>
      <c r="L9" s="270" t="s">
        <v>335</v>
      </c>
      <c r="N9" s="11"/>
    </row>
    <row r="10" spans="1:14" ht="14.25" customHeight="1">
      <c r="A10" s="268" t="s">
        <v>331</v>
      </c>
      <c r="B10" s="1401">
        <v>1.5</v>
      </c>
      <c r="C10" s="1404">
        <f>'Balance Sheet'!C39/'Ratios '!C57</f>
        <v>0.2070467542420058</v>
      </c>
      <c r="D10" s="1407">
        <f>+$B$10*C10</f>
        <v>0.31057013136300871</v>
      </c>
      <c r="E10" s="1404">
        <f>'Balance Sheet'!D39/'Ratios '!D57</f>
        <v>0.31272409173744331</v>
      </c>
      <c r="F10" s="1407">
        <f>+$B$10*E10</f>
        <v>0.46908613760616497</v>
      </c>
      <c r="G10" s="1404">
        <f>'Balance Sheet'!E39/'Ratios '!E57</f>
        <v>0.74233861688451641</v>
      </c>
      <c r="H10" s="1407">
        <f>+$B$10*G10</f>
        <v>1.1135079253267746</v>
      </c>
      <c r="I10" s="1404">
        <f>'Balance Sheet'!F39/'Ratios '!F57</f>
        <v>0.85296007216147129</v>
      </c>
      <c r="J10" s="1407">
        <f>+$B$10*I10</f>
        <v>1.2794401082422069</v>
      </c>
      <c r="K10" s="1404">
        <f>'Balance Sheet'!G39/'Ratios '!G57</f>
        <v>0.94396743993465959</v>
      </c>
      <c r="L10" s="1407">
        <f>+$B$10*K10</f>
        <v>1.4159511599019894</v>
      </c>
    </row>
    <row r="11" spans="1:14" ht="14.25" customHeight="1">
      <c r="A11" s="269" t="s">
        <v>333</v>
      </c>
      <c r="B11" s="1402"/>
      <c r="C11" s="1405"/>
      <c r="D11" s="1408"/>
      <c r="E11" s="1405"/>
      <c r="F11" s="1408"/>
      <c r="G11" s="1405"/>
      <c r="H11" s="1408"/>
      <c r="I11" s="1405"/>
      <c r="J11" s="1408"/>
      <c r="K11" s="1405"/>
      <c r="L11" s="1408"/>
    </row>
    <row r="12" spans="1:14" ht="14.25" customHeight="1">
      <c r="A12" s="266" t="s">
        <v>332</v>
      </c>
      <c r="B12" s="1403"/>
      <c r="C12" s="1406"/>
      <c r="D12" s="1409"/>
      <c r="E12" s="1406"/>
      <c r="F12" s="1409"/>
      <c r="G12" s="1406"/>
      <c r="H12" s="1409"/>
      <c r="I12" s="1406"/>
      <c r="J12" s="1409"/>
      <c r="K12" s="1406"/>
      <c r="L12" s="1409"/>
    </row>
    <row r="13" spans="1:14" ht="14.25" customHeight="1">
      <c r="A13" s="268" t="s">
        <v>338</v>
      </c>
      <c r="B13" s="1401">
        <v>1.44</v>
      </c>
      <c r="C13" s="1404">
        <f>+('Balance Sheet'!C49+'Balance Sheet'!C50)/'Ratios '!C57</f>
        <v>0.46992820942892877</v>
      </c>
      <c r="D13" s="1407">
        <f>+$B$13*C13</f>
        <v>0.67669662157765742</v>
      </c>
      <c r="E13" s="1404">
        <f>+('Balance Sheet'!D49+'Balance Sheet'!D50)/'Ratios '!D57</f>
        <v>0.27761245628811415</v>
      </c>
      <c r="F13" s="1407">
        <f>+$B$13*E13</f>
        <v>0.39976193705488439</v>
      </c>
      <c r="G13" s="1404">
        <f>+('Balance Sheet'!E49+'Balance Sheet'!E50)/'Ratios '!E57</f>
        <v>0.1056512502676607</v>
      </c>
      <c r="H13" s="1407">
        <f>+$B$13*G13</f>
        <v>0.1521378003854314</v>
      </c>
      <c r="I13" s="1404">
        <f>+('Balance Sheet'!F49+'Balance Sheet'!F50)/'Ratios '!F57</f>
        <v>0.42134988458421235</v>
      </c>
      <c r="J13" s="1407">
        <f>+$B$13*I13</f>
        <v>0.60674383380126573</v>
      </c>
      <c r="K13" s="1404">
        <f>+('Balance Sheet'!G49+'Balance Sheet'!G50)/'Ratios '!G57</f>
        <v>0.47922210586907887</v>
      </c>
      <c r="L13" s="1407">
        <f>+$B$13*K13</f>
        <v>0.69007983245147353</v>
      </c>
    </row>
    <row r="14" spans="1:14" ht="14.25" customHeight="1">
      <c r="A14" s="269" t="s">
        <v>334</v>
      </c>
      <c r="B14" s="1402"/>
      <c r="C14" s="1405"/>
      <c r="D14" s="1408"/>
      <c r="E14" s="1405"/>
      <c r="F14" s="1408"/>
      <c r="G14" s="1405"/>
      <c r="H14" s="1408"/>
      <c r="I14" s="1405"/>
      <c r="J14" s="1408"/>
      <c r="K14" s="1405"/>
      <c r="L14" s="1408"/>
    </row>
    <row r="15" spans="1:14" ht="14.25" customHeight="1">
      <c r="A15" s="266" t="s">
        <v>332</v>
      </c>
      <c r="B15" s="1403"/>
      <c r="C15" s="1406"/>
      <c r="D15" s="1409"/>
      <c r="E15" s="1406"/>
      <c r="F15" s="1409"/>
      <c r="G15" s="1406"/>
      <c r="H15" s="1409"/>
      <c r="I15" s="1406"/>
      <c r="J15" s="1409"/>
      <c r="K15" s="1406"/>
      <c r="L15" s="1409"/>
    </row>
    <row r="16" spans="1:14" ht="14.25" customHeight="1">
      <c r="A16" s="268" t="s">
        <v>978</v>
      </c>
      <c r="B16" s="1401">
        <v>3.64</v>
      </c>
      <c r="C16" s="1404">
        <f>+'Ratios '!C31</f>
        <v>-0.23093368268753195</v>
      </c>
      <c r="D16" s="1407">
        <f>+$B$16*C16</f>
        <v>-0.84059860498261629</v>
      </c>
      <c r="E16" s="1404">
        <f>+'Ratios '!D31</f>
        <v>-4.9123519860009429E-3</v>
      </c>
      <c r="F16" s="1407">
        <f>+$B$16*E16</f>
        <v>-1.7880961229043434E-2</v>
      </c>
      <c r="G16" s="1404">
        <f>+'Ratios '!E31</f>
        <v>0.6515063792422755</v>
      </c>
      <c r="H16" s="1407">
        <f>+$B$16*G16</f>
        <v>2.371483220441883</v>
      </c>
      <c r="I16" s="1404">
        <f>+'Ratios '!F31</f>
        <v>0.5943258320642052</v>
      </c>
      <c r="J16" s="1407">
        <f>+$B$16*I16</f>
        <v>2.1633460287137072</v>
      </c>
      <c r="K16" s="1404">
        <f>+'Ratios '!G31</f>
        <v>0.56724861381330738</v>
      </c>
      <c r="L16" s="1407">
        <f>+$B$16*K16</f>
        <v>2.0647849542804391</v>
      </c>
    </row>
    <row r="17" spans="1:14" ht="14.25" customHeight="1">
      <c r="A17" s="269" t="s">
        <v>340</v>
      </c>
      <c r="B17" s="1402"/>
      <c r="C17" s="1405"/>
      <c r="D17" s="1408"/>
      <c r="E17" s="1405"/>
      <c r="F17" s="1408"/>
      <c r="G17" s="1405"/>
      <c r="H17" s="1408"/>
      <c r="I17" s="1405"/>
      <c r="J17" s="1408"/>
      <c r="K17" s="1405"/>
      <c r="L17" s="1408"/>
    </row>
    <row r="18" spans="1:14" ht="14.25" customHeight="1">
      <c r="A18" s="266" t="s">
        <v>332</v>
      </c>
      <c r="B18" s="1403"/>
      <c r="C18" s="1406"/>
      <c r="D18" s="1409"/>
      <c r="E18" s="1406"/>
      <c r="F18" s="1409"/>
      <c r="G18" s="1406"/>
      <c r="H18" s="1409"/>
      <c r="I18" s="1406"/>
      <c r="J18" s="1409"/>
      <c r="K18" s="1406"/>
      <c r="L18" s="1409"/>
    </row>
    <row r="19" spans="1:14" ht="14.25" customHeight="1">
      <c r="A19" s="806" t="s">
        <v>339</v>
      </c>
      <c r="B19" s="1401">
        <v>0.6</v>
      </c>
      <c r="C19" s="1404">
        <f>+C31/('Balance Sheet'!C71-'Balance Sheet'!C53)</f>
        <v>1.4850749962873124</v>
      </c>
      <c r="D19" s="1407">
        <f>+$B$19*C19</f>
        <v>0.89104499777238744</v>
      </c>
      <c r="E19" s="1404">
        <f>+E31/('Balance Sheet'!D71-'Balance Sheet'!D53)</f>
        <v>1.749714003309689</v>
      </c>
      <c r="F19" s="1407">
        <f>+$B$19*E19</f>
        <v>1.0498284019858133</v>
      </c>
      <c r="G19" s="1404">
        <f>+G31/('Balance Sheet'!E71-'Balance Sheet'!E53)</f>
        <v>1.4500914609829507</v>
      </c>
      <c r="H19" s="1407">
        <f>+$B$19*G19</f>
        <v>0.87005487658977043</v>
      </c>
      <c r="I19" s="1404">
        <f>+I31/('Balance Sheet'!F71-'Balance Sheet'!F53)</f>
        <v>1.60763362498011</v>
      </c>
      <c r="J19" s="1407">
        <f>+$B$19*I19</f>
        <v>0.96458017498806592</v>
      </c>
      <c r="K19" s="1404">
        <f>+K31/('Balance Sheet'!G71-'Balance Sheet'!G53)</f>
        <v>1.2649978424741202</v>
      </c>
      <c r="L19" s="1407">
        <f>+$B$19*K19</f>
        <v>0.75899870548447212</v>
      </c>
    </row>
    <row r="20" spans="1:14" ht="14.25" customHeight="1">
      <c r="A20" s="267" t="s">
        <v>341</v>
      </c>
      <c r="B20" s="1402"/>
      <c r="C20" s="1405">
        <v>-2.5828447452023659E-2</v>
      </c>
      <c r="D20" s="1408"/>
      <c r="E20" s="1405">
        <v>-2.5828447452023659E-2</v>
      </c>
      <c r="F20" s="1408"/>
      <c r="G20" s="1405">
        <v>-2.5828447452023659E-2</v>
      </c>
      <c r="H20" s="1408"/>
      <c r="I20" s="1405">
        <v>-2.5828447452023659E-2</v>
      </c>
      <c r="J20" s="1408"/>
      <c r="K20" s="1405">
        <v>-2.5828447452023659E-2</v>
      </c>
      <c r="L20" s="1408"/>
    </row>
    <row r="21" spans="1:14" ht="9" customHeight="1">
      <c r="A21" s="266" t="s">
        <v>342</v>
      </c>
      <c r="B21" s="1403"/>
      <c r="C21" s="1406">
        <v>2.3951433248726978E-6</v>
      </c>
      <c r="D21" s="1409"/>
      <c r="E21" s="1406">
        <v>2.3951433248726978E-6</v>
      </c>
      <c r="F21" s="1409"/>
      <c r="G21" s="1406">
        <v>2.3951433248726978E-6</v>
      </c>
      <c r="H21" s="1409"/>
      <c r="I21" s="1406">
        <v>2.3951433248726978E-6</v>
      </c>
      <c r="J21" s="1409"/>
      <c r="K21" s="1406">
        <v>2.3951433248726978E-6</v>
      </c>
      <c r="L21" s="1409"/>
    </row>
    <row r="22" spans="1:14" ht="14.25" customHeight="1">
      <c r="A22" s="268" t="s">
        <v>344</v>
      </c>
      <c r="B22" s="1401">
        <v>0.64</v>
      </c>
      <c r="C22" s="1404">
        <f>+('Income Statement'!C5+'Income Statement'!C7)/'Ratios '!C57</f>
        <v>0.16203486144347487</v>
      </c>
      <c r="D22" s="1407">
        <f>+$B$22*C22</f>
        <v>0.10370231132382392</v>
      </c>
      <c r="E22" s="1404">
        <f>+('Income Statement'!D5+'Income Statement'!D7)/'Ratios '!D57</f>
        <v>1.1349869611136412</v>
      </c>
      <c r="F22" s="1407">
        <f>+$B$22*E22</f>
        <v>0.72639165511273041</v>
      </c>
      <c r="G22" s="1404">
        <f>+('Income Statement'!E5+'Income Statement'!E7)/'Ratios '!D57</f>
        <v>5.1453096442242074</v>
      </c>
      <c r="H22" s="1407">
        <f>+$B$22*G22</f>
        <v>3.2929981723034927</v>
      </c>
      <c r="I22" s="1404">
        <f>+('Income Statement'!F5+'Income Statement'!F7)/'Ratios '!F57</f>
        <v>1.5155479619084138</v>
      </c>
      <c r="J22" s="1407">
        <f>+$B$22*I22</f>
        <v>0.96995069562138481</v>
      </c>
      <c r="K22" s="1404">
        <f>+('Income Statement'!G5+'Income Statement'!G7)/'Ratios '!F57</f>
        <v>2.4283118278426472</v>
      </c>
      <c r="L22" s="1407">
        <f>+$B$22*K22</f>
        <v>1.5541195698192942</v>
      </c>
      <c r="N22" s="519"/>
    </row>
    <row r="23" spans="1:14" ht="14.25" customHeight="1">
      <c r="A23" s="807" t="s">
        <v>343</v>
      </c>
      <c r="B23" s="1402"/>
      <c r="C23" s="1405"/>
      <c r="D23" s="1408"/>
      <c r="E23" s="1405"/>
      <c r="F23" s="1408"/>
      <c r="G23" s="1405"/>
      <c r="H23" s="1408"/>
      <c r="I23" s="1405"/>
      <c r="J23" s="1408"/>
      <c r="K23" s="1405"/>
      <c r="L23" s="1408"/>
    </row>
    <row r="24" spans="1:14" ht="14.25" customHeight="1">
      <c r="A24" s="266" t="s">
        <v>332</v>
      </c>
      <c r="B24" s="1403"/>
      <c r="C24" s="1406"/>
      <c r="D24" s="1409"/>
      <c r="E24" s="1406"/>
      <c r="F24" s="1409"/>
      <c r="G24" s="1406"/>
      <c r="H24" s="1409"/>
      <c r="I24" s="1406"/>
      <c r="J24" s="1409"/>
      <c r="K24" s="1406"/>
      <c r="L24" s="1409"/>
      <c r="N24" s="1411" t="s">
        <v>929</v>
      </c>
    </row>
    <row r="25" spans="1:14" ht="15.75" customHeight="1">
      <c r="A25" s="358" t="s">
        <v>977</v>
      </c>
      <c r="B25" s="359"/>
      <c r="C25" s="360"/>
      <c r="D25" s="361">
        <f>SUM(D10:D24)</f>
        <v>1.1414154570542612</v>
      </c>
      <c r="E25" s="265"/>
      <c r="F25" s="264">
        <f>SUM(F10:F24)</f>
        <v>2.6271871705305494</v>
      </c>
      <c r="G25" s="265"/>
      <c r="H25" s="264">
        <f>SUM(H10:H24)</f>
        <v>7.8001819950473514</v>
      </c>
      <c r="I25" s="265"/>
      <c r="J25" s="264">
        <f>SUM(J10:J24)</f>
        <v>5.9840608413666292</v>
      </c>
      <c r="K25" s="265"/>
      <c r="L25" s="264">
        <f>SUM(L10:L24)</f>
        <v>6.4839342219376679</v>
      </c>
      <c r="N25" s="1411"/>
    </row>
    <row r="26" spans="1:14" ht="15.75" customHeight="1">
      <c r="A26" s="808" t="s">
        <v>345</v>
      </c>
      <c r="B26" s="809"/>
      <c r="C26" s="1397" t="str">
        <f>IF(D25&lt;1.8,"HIGH",IF(AND(D25&gt;1.8,D25&lt;=2.7),"MEDIUM-HIGH",IF(AND(D25&gt;2.7,D25&lt;=3),"MEDIUM","LOW")))</f>
        <v>HIGH</v>
      </c>
      <c r="D26" s="1398"/>
      <c r="E26" s="1399" t="str">
        <f>IF(F25&lt;1.8,"HIGH",IF(AND(F25&gt;1.8,F25&lt;=2.7),"MEDIUM-HIGH",IF(AND(F25&gt;2.7,F25&lt;=3),"MEDIUM","LOW")))</f>
        <v>MEDIUM-HIGH</v>
      </c>
      <c r="F26" s="1400"/>
      <c r="G26" s="1410" t="str">
        <f>IF(H25&lt;1.8,"HIGH",IF(AND(H25&gt;1.8,H25&lt;=2.7),"MEDIUM-HIGH",IF(AND(H25&gt;2.7,H25&lt;=3),"MEDIUM","LOW")))</f>
        <v>LOW</v>
      </c>
      <c r="H26" s="1400"/>
      <c r="I26" s="1410" t="str">
        <f>IF(J25&lt;1.8,"HIGH",IF(AND(J25&gt;1.8,J25&lt;=2.7),"MEDIUM-HIGH",IF(AND(J25&gt;2.7,J25&lt;=3),"MEDIUM","LOW")))</f>
        <v>LOW</v>
      </c>
      <c r="J26" s="1400"/>
      <c r="K26" s="1410" t="str">
        <f>IF(L25&lt;1.8,"HIGH",IF(AND(L25&gt;1.8,L25&lt;=2.7),"MEDIUM-HIGH",IF(AND(L25&gt;2.7,L25&lt;=3),"MEDIUM","LOW")))</f>
        <v>LOW</v>
      </c>
      <c r="L26" s="1400"/>
      <c r="N26" s="1411"/>
    </row>
    <row r="27" spans="1:14" ht="15.75" customHeight="1">
      <c r="A27" s="279"/>
      <c r="B27" s="357"/>
      <c r="N27" s="1411"/>
    </row>
    <row r="28" spans="1:14" ht="18" customHeight="1">
      <c r="N28" s="1411"/>
    </row>
    <row r="29" spans="1:14" ht="17.25" customHeight="1">
      <c r="A29" s="810"/>
      <c r="B29" s="811"/>
      <c r="C29" s="812" t="s">
        <v>728</v>
      </c>
      <c r="D29" s="813"/>
      <c r="E29" s="812" t="s">
        <v>727</v>
      </c>
      <c r="F29" s="813"/>
      <c r="G29" s="812" t="s">
        <v>1317</v>
      </c>
      <c r="H29" s="813"/>
      <c r="I29" s="812" t="s">
        <v>1318</v>
      </c>
      <c r="J29" s="813"/>
      <c r="K29" s="812" t="s">
        <v>372</v>
      </c>
      <c r="L29" s="814"/>
    </row>
    <row r="30" spans="1:14" ht="18" customHeight="1">
      <c r="A30" s="815" t="s">
        <v>927</v>
      </c>
      <c r="B30" s="263"/>
      <c r="C30" s="356">
        <f>+'Price-BV'!B9</f>
        <v>300</v>
      </c>
      <c r="D30" s="13"/>
      <c r="E30" s="356">
        <f>+'Price-BV'!C9</f>
        <v>300</v>
      </c>
      <c r="F30" s="13"/>
      <c r="G30" s="356">
        <f>+'Price-BV'!D9</f>
        <v>300</v>
      </c>
      <c r="H30" s="13"/>
      <c r="I30" s="356">
        <f>+'Price-BV'!E9</f>
        <v>300</v>
      </c>
      <c r="J30" s="13"/>
      <c r="K30" s="356">
        <f>+'Price-BV'!F9</f>
        <v>300</v>
      </c>
      <c r="L30" s="816"/>
      <c r="N30" s="822" t="s">
        <v>930</v>
      </c>
    </row>
    <row r="31" spans="1:14" ht="18" customHeight="1">
      <c r="A31" s="817" t="s">
        <v>928</v>
      </c>
      <c r="B31" s="818"/>
      <c r="C31" s="819">
        <f>C30*'Price-BV'!B7</f>
        <v>300000</v>
      </c>
      <c r="D31" s="820"/>
      <c r="E31" s="819">
        <f>E30*'Price-BV'!C7</f>
        <v>300000</v>
      </c>
      <c r="F31" s="820"/>
      <c r="G31" s="819">
        <f>G30*'Price-BV'!D7</f>
        <v>300000</v>
      </c>
      <c r="H31" s="820"/>
      <c r="I31" s="819">
        <f>I30*'Price-BV'!E7</f>
        <v>300000</v>
      </c>
      <c r="J31" s="820"/>
      <c r="K31" s="819">
        <f>K30*'Price-BV'!F7</f>
        <v>300000</v>
      </c>
      <c r="L31" s="821"/>
    </row>
  </sheetData>
  <mergeCells count="62">
    <mergeCell ref="A1:C1"/>
    <mergeCell ref="N24:N28"/>
    <mergeCell ref="K22:K24"/>
    <mergeCell ref="L22:L24"/>
    <mergeCell ref="I22:I24"/>
    <mergeCell ref="J22:J24"/>
    <mergeCell ref="I26:J26"/>
    <mergeCell ref="K26:L26"/>
    <mergeCell ref="K19:K21"/>
    <mergeCell ref="L19:L21"/>
    <mergeCell ref="I19:I21"/>
    <mergeCell ref="J19:J21"/>
    <mergeCell ref="K16:K18"/>
    <mergeCell ref="L16:L18"/>
    <mergeCell ref="I16:I18"/>
    <mergeCell ref="J16:J18"/>
    <mergeCell ref="K13:K15"/>
    <mergeCell ref="L13:L15"/>
    <mergeCell ref="I13:I15"/>
    <mergeCell ref="J13:J15"/>
    <mergeCell ref="K10:K12"/>
    <mergeCell ref="L10:L12"/>
    <mergeCell ref="I10:I12"/>
    <mergeCell ref="J10:J12"/>
    <mergeCell ref="H10:H12"/>
    <mergeCell ref="G13:G15"/>
    <mergeCell ref="H13:H15"/>
    <mergeCell ref="F13:F15"/>
    <mergeCell ref="G10:G12"/>
    <mergeCell ref="F10:F12"/>
    <mergeCell ref="F19:F21"/>
    <mergeCell ref="B13:B15"/>
    <mergeCell ref="C13:C15"/>
    <mergeCell ref="F22:F24"/>
    <mergeCell ref="F16:F18"/>
    <mergeCell ref="B19:B21"/>
    <mergeCell ref="C19:C21"/>
    <mergeCell ref="D19:D21"/>
    <mergeCell ref="E19:E21"/>
    <mergeCell ref="B10:B12"/>
    <mergeCell ref="B16:B18"/>
    <mergeCell ref="C10:C12"/>
    <mergeCell ref="D13:D15"/>
    <mergeCell ref="E13:E15"/>
    <mergeCell ref="C16:C18"/>
    <mergeCell ref="D16:D18"/>
    <mergeCell ref="E16:E18"/>
    <mergeCell ref="D10:D12"/>
    <mergeCell ref="E10:E12"/>
    <mergeCell ref="G26:H26"/>
    <mergeCell ref="G16:G18"/>
    <mergeCell ref="H16:H18"/>
    <mergeCell ref="G19:G21"/>
    <mergeCell ref="H19:H21"/>
    <mergeCell ref="G22:G24"/>
    <mergeCell ref="H22:H24"/>
    <mergeCell ref="C26:D26"/>
    <mergeCell ref="E26:F26"/>
    <mergeCell ref="B22:B24"/>
    <mergeCell ref="C22:C24"/>
    <mergeCell ref="D22:D24"/>
    <mergeCell ref="E22:E24"/>
  </mergeCells>
  <phoneticPr fontId="114" type="noConversion"/>
  <conditionalFormatting sqref="C26:L26">
    <cfRule type="containsText" dxfId="20" priority="7" stopIfTrue="1" operator="containsText" text="LOW">
      <formula>NOT(ISERROR(SEARCH("LOW",C26)))</formula>
    </cfRule>
    <cfRule type="containsText" dxfId="19" priority="9" stopIfTrue="1" operator="containsText" text="MEDIUM-HIGH">
      <formula>NOT(ISERROR(SEARCH("MEDIUM-HIGH",C26)))</formula>
    </cfRule>
    <cfRule type="expression" dxfId="18" priority="11" stopIfTrue="1">
      <formula>RIGHT(C26,LEN("MEDIUM"))="MEDIUM"</formula>
    </cfRule>
  </conditionalFormatting>
  <pageMargins left="0.74803149606299213" right="0.74803149606299213" top="0.98425196850393704" bottom="0.98425196850393704" header="0.51181102362204722" footer="0.51181102362204722"/>
  <pageSetup paperSize="9" scale="67" orientation="landscape" horizontalDpi="4294967292" verticalDpi="4294967292"/>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20"/>
  <sheetViews>
    <sheetView showGridLines="0" view="pageLayout" zoomScale="85" zoomScaleNormal="85" zoomScalePageLayoutView="85" workbookViewId="0">
      <selection activeCell="B9" sqref="B9"/>
    </sheetView>
  </sheetViews>
  <sheetFormatPr defaultColWidth="8.85546875" defaultRowHeight="12.75"/>
  <cols>
    <col min="1" max="1" width="35.85546875" style="21" customWidth="1"/>
    <col min="2" max="5" width="11.42578125" style="21" customWidth="1"/>
    <col min="6" max="6" width="9.140625" style="21" bestFit="1" customWidth="1"/>
    <col min="7" max="7" width="30" style="21" bestFit="1" customWidth="1"/>
    <col min="8" max="8" width="38.85546875" style="376" customWidth="1"/>
    <col min="9" max="16384" width="8.85546875" style="21"/>
  </cols>
  <sheetData>
    <row r="1" spans="1:8" ht="15">
      <c r="A1" s="1383" t="s">
        <v>329</v>
      </c>
      <c r="B1" s="1384"/>
      <c r="H1" s="21"/>
    </row>
    <row r="2" spans="1:8" ht="13.5" thickBot="1"/>
    <row r="3" spans="1:8" ht="26.25" thickBot="1">
      <c r="A3" s="823"/>
      <c r="B3" s="824" t="s">
        <v>728</v>
      </c>
      <c r="C3" s="824" t="s">
        <v>727</v>
      </c>
      <c r="D3" s="824" t="s">
        <v>1317</v>
      </c>
      <c r="E3" s="824" t="s">
        <v>1318</v>
      </c>
      <c r="F3" s="824" t="s">
        <v>372</v>
      </c>
    </row>
    <row r="4" spans="1:8">
      <c r="A4" s="830"/>
      <c r="B4" s="825"/>
      <c r="C4" s="825"/>
      <c r="D4" s="825"/>
      <c r="E4" s="825"/>
      <c r="F4" s="825"/>
    </row>
    <row r="5" spans="1:8">
      <c r="A5" s="831" t="s">
        <v>1015</v>
      </c>
      <c r="B5" s="825">
        <f>+'Balance Sheet'!C47</f>
        <v>10000</v>
      </c>
      <c r="C5" s="825">
        <f>+'Balance Sheet'!D47</f>
        <v>10000</v>
      </c>
      <c r="D5" s="825">
        <f>+'Balance Sheet'!E47</f>
        <v>10000</v>
      </c>
      <c r="E5" s="825">
        <f>+'Balance Sheet'!F47</f>
        <v>10000</v>
      </c>
      <c r="F5" s="825">
        <f>+'Balance Sheet'!G47</f>
        <v>10000</v>
      </c>
    </row>
    <row r="6" spans="1:8">
      <c r="A6" s="832" t="s">
        <v>178</v>
      </c>
      <c r="B6" s="825">
        <f>+'Balance Sheet'!C53</f>
        <v>75836</v>
      </c>
      <c r="C6" s="825">
        <f>+'Balance Sheet'!D53</f>
        <v>74627.149999999994</v>
      </c>
      <c r="D6" s="825">
        <f>+'Balance Sheet'!E53</f>
        <v>488376.15</v>
      </c>
      <c r="E6" s="825">
        <f>+'Balance Sheet'!F53</f>
        <v>1052153.1499999999</v>
      </c>
      <c r="F6" s="825">
        <f>+'Balance Sheet'!G53</f>
        <v>2132589.15</v>
      </c>
    </row>
    <row r="7" spans="1:8">
      <c r="A7" s="831" t="s">
        <v>1016</v>
      </c>
      <c r="B7" s="825">
        <f>'Other input data'!C13</f>
        <v>1000</v>
      </c>
      <c r="C7" s="825">
        <f>'Other input data'!D13</f>
        <v>1000</v>
      </c>
      <c r="D7" s="825">
        <f>'Other input data'!E13</f>
        <v>1000</v>
      </c>
      <c r="E7" s="825">
        <f>'Other input data'!F13</f>
        <v>1000</v>
      </c>
      <c r="F7" s="825">
        <f>'Other input data'!G13</f>
        <v>1000</v>
      </c>
    </row>
    <row r="8" spans="1:8">
      <c r="A8" s="831" t="s">
        <v>179</v>
      </c>
      <c r="B8" s="825">
        <f>+B6/B7</f>
        <v>75.835999999999999</v>
      </c>
      <c r="C8" s="825">
        <f>+C6/C7</f>
        <v>74.62715</v>
      </c>
      <c r="D8" s="825">
        <f>+D6/D7</f>
        <v>488.37615</v>
      </c>
      <c r="E8" s="825">
        <f>+E6/E7</f>
        <v>1052.1531499999999</v>
      </c>
      <c r="F8" s="825">
        <f>+F6/F7</f>
        <v>2132.5891499999998</v>
      </c>
      <c r="G8" s="123"/>
    </row>
    <row r="9" spans="1:8">
      <c r="A9" s="831" t="s">
        <v>180</v>
      </c>
      <c r="B9" s="825">
        <f>'Other input data'!C14</f>
        <v>300</v>
      </c>
      <c r="C9" s="825">
        <f>'Other input data'!D14</f>
        <v>300</v>
      </c>
      <c r="D9" s="825">
        <f>'Other input data'!E14</f>
        <v>300</v>
      </c>
      <c r="E9" s="825">
        <f>'Other input data'!F14</f>
        <v>300</v>
      </c>
      <c r="F9" s="825">
        <f>'Other input data'!G14</f>
        <v>300</v>
      </c>
      <c r="G9" s="123"/>
      <c r="H9" s="1396" t="s">
        <v>924</v>
      </c>
    </row>
    <row r="10" spans="1:8" ht="12.75" customHeight="1">
      <c r="A10" s="831"/>
      <c r="B10" s="826"/>
      <c r="C10" s="826"/>
      <c r="D10" s="826"/>
      <c r="E10" s="826"/>
      <c r="F10" s="826"/>
      <c r="G10" s="123"/>
      <c r="H10" s="1396"/>
    </row>
    <row r="11" spans="1:8">
      <c r="A11" s="833" t="s">
        <v>181</v>
      </c>
      <c r="B11" s="827">
        <f>+B9/B8</f>
        <v>3.9559048473020728</v>
      </c>
      <c r="C11" s="827">
        <f>+C9/C8</f>
        <v>4.0199846838583548</v>
      </c>
      <c r="D11" s="827">
        <f>+D9/D8</f>
        <v>0.61428061136892131</v>
      </c>
      <c r="E11" s="827">
        <f>+E9/E8</f>
        <v>0.28512959353873535</v>
      </c>
      <c r="F11" s="827">
        <f>+F9/F8</f>
        <v>0.14067407217184802</v>
      </c>
      <c r="G11" s="274"/>
      <c r="H11" s="1396"/>
    </row>
    <row r="12" spans="1:8">
      <c r="A12" s="769"/>
      <c r="B12" s="826"/>
      <c r="C12" s="826"/>
      <c r="D12" s="826"/>
      <c r="E12" s="826"/>
      <c r="F12" s="826"/>
      <c r="G12" s="123"/>
      <c r="H12" s="1396"/>
    </row>
    <row r="13" spans="1:8">
      <c r="A13" s="831"/>
      <c r="B13" s="826"/>
      <c r="C13" s="826"/>
      <c r="D13" s="826"/>
      <c r="E13" s="826"/>
      <c r="F13" s="826"/>
      <c r="G13" s="123"/>
      <c r="H13" s="1396"/>
    </row>
    <row r="14" spans="1:8">
      <c r="A14" s="762" t="s">
        <v>925</v>
      </c>
      <c r="B14" s="825">
        <f>+B7*B9</f>
        <v>300000</v>
      </c>
      <c r="C14" s="825">
        <f>+C7*C9</f>
        <v>300000</v>
      </c>
      <c r="D14" s="825">
        <f>+D7*D9</f>
        <v>300000</v>
      </c>
      <c r="E14" s="825">
        <f>+E7*E9</f>
        <v>300000</v>
      </c>
      <c r="F14" s="825">
        <f>+F7*F9</f>
        <v>300000</v>
      </c>
      <c r="G14" s="123" t="s">
        <v>1017</v>
      </c>
    </row>
    <row r="15" spans="1:8">
      <c r="A15" s="738" t="s">
        <v>986</v>
      </c>
      <c r="B15" s="826">
        <f>+B14/'Income Statement'!C25</f>
        <v>-10.51156271899089</v>
      </c>
      <c r="C15" s="826">
        <f>+C14/'Income Statement'!D25</f>
        <v>5.1230383032497135</v>
      </c>
      <c r="D15" s="826">
        <f>+D14/'Income Statement'!E25</f>
        <v>0.55672054484383993</v>
      </c>
      <c r="E15" s="826">
        <f>+E14/'Income Statement'!F25</f>
        <v>0.40748191119882538</v>
      </c>
      <c r="F15" s="826">
        <f>+F14/'Income Statement'!G25</f>
        <v>0.22317542927793821</v>
      </c>
      <c r="G15" s="123"/>
    </row>
    <row r="16" spans="1:8">
      <c r="A16" s="738" t="s">
        <v>985</v>
      </c>
      <c r="B16" s="828">
        <f>'Balance Sheet'!C52/B7</f>
        <v>-64.164000000000001</v>
      </c>
      <c r="C16" s="828">
        <f>'Balance Sheet'!D52/C7</f>
        <v>-1.2088500000000004</v>
      </c>
      <c r="D16" s="828">
        <f>'Balance Sheet'!E52/D7</f>
        <v>413.74900000000002</v>
      </c>
      <c r="E16" s="828">
        <f>'Balance Sheet'!F52/E7</f>
        <v>563.77700000000004</v>
      </c>
      <c r="F16" s="828">
        <f>'Balance Sheet'!G52/F7</f>
        <v>1080.4359999999999</v>
      </c>
      <c r="G16" s="123" t="s">
        <v>1018</v>
      </c>
    </row>
    <row r="17" spans="1:7">
      <c r="A17" s="738" t="s">
        <v>926</v>
      </c>
      <c r="B17" s="828">
        <f>'Other input data'!C15</f>
        <v>0</v>
      </c>
      <c r="C17" s="828">
        <f>'Other input data'!D15</f>
        <v>0</v>
      </c>
      <c r="D17" s="828">
        <f>'Other input data'!E15</f>
        <v>0</v>
      </c>
      <c r="E17" s="828">
        <f>'Other input data'!F15</f>
        <v>0</v>
      </c>
      <c r="F17" s="828">
        <f>'Other input data'!G15</f>
        <v>0</v>
      </c>
      <c r="G17" s="123" t="s">
        <v>1019</v>
      </c>
    </row>
    <row r="18" spans="1:7">
      <c r="A18" s="738" t="s">
        <v>984</v>
      </c>
      <c r="B18" s="828">
        <f>+B17/B16</f>
        <v>0</v>
      </c>
      <c r="C18" s="828">
        <f>+C17/C16</f>
        <v>0</v>
      </c>
      <c r="D18" s="828">
        <f>+D17/D16</f>
        <v>0</v>
      </c>
      <c r="E18" s="828">
        <f>+E17/E16</f>
        <v>0</v>
      </c>
      <c r="F18" s="828">
        <f>+F17/F16</f>
        <v>0</v>
      </c>
      <c r="G18" s="123" t="s">
        <v>1020</v>
      </c>
    </row>
    <row r="19" spans="1:7" ht="13.5" thickBot="1">
      <c r="A19" s="834" t="s">
        <v>983</v>
      </c>
      <c r="B19" s="829">
        <f>+B17/B9</f>
        <v>0</v>
      </c>
      <c r="C19" s="829">
        <f>+C17/C9</f>
        <v>0</v>
      </c>
      <c r="D19" s="829">
        <f>+D17/D9</f>
        <v>0</v>
      </c>
      <c r="E19" s="829">
        <f>+E17/E9</f>
        <v>0</v>
      </c>
      <c r="F19" s="829">
        <f>+F17/F9</f>
        <v>0</v>
      </c>
      <c r="G19" s="123" t="s">
        <v>1021</v>
      </c>
    </row>
    <row r="20" spans="1:7">
      <c r="B20" s="378"/>
      <c r="C20" s="378"/>
      <c r="D20" s="123"/>
    </row>
  </sheetData>
  <mergeCells count="2">
    <mergeCell ref="A1:B1"/>
    <mergeCell ref="H9:H13"/>
  </mergeCells>
  <phoneticPr fontId="114" type="noConversion"/>
  <pageMargins left="0.75000000000000011" right="0.75000000000000011" top="0.98" bottom="0.98" header="0.51" footer="0.51"/>
  <pageSetup paperSize="9" scale="83" orientation="landscape" r:id="rId1"/>
  <extLst>
    <ext xmlns:mx="http://schemas.microsoft.com/office/mac/excel/2008/main" uri="{64002731-A6B0-56B0-2670-7721B7C09600}">
      <mx:PLV Mode="1" OnePage="0" WScale="10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3"/>
  <sheetViews>
    <sheetView workbookViewId="0">
      <selection sqref="A1:E1"/>
    </sheetView>
  </sheetViews>
  <sheetFormatPr defaultColWidth="11.42578125" defaultRowHeight="12.75"/>
  <cols>
    <col min="1" max="1" width="13.7109375" customWidth="1"/>
    <col min="2" max="2" width="11.42578125" customWidth="1"/>
    <col min="3" max="3" width="16.140625" customWidth="1"/>
    <col min="4" max="4" width="11.42578125" customWidth="1"/>
    <col min="5" max="5" width="15.7109375" customWidth="1"/>
  </cols>
  <sheetData>
    <row r="1" spans="1:7" s="21" customFormat="1" ht="15">
      <c r="A1" s="1383" t="s">
        <v>688</v>
      </c>
      <c r="B1" s="1384"/>
      <c r="C1" s="1384"/>
      <c r="D1" s="1384"/>
      <c r="E1" s="1384"/>
    </row>
    <row r="2" spans="1:7" s="21" customFormat="1"/>
    <row r="3" spans="1:7" ht="13.5" thickBot="1">
      <c r="A3" s="51"/>
      <c r="B3" s="51"/>
      <c r="C3" s="51"/>
      <c r="D3" s="51"/>
      <c r="E3" s="51"/>
      <c r="F3" s="51"/>
      <c r="G3" s="51"/>
    </row>
    <row r="4" spans="1:7" ht="13.5" thickTop="1">
      <c r="A4" s="1415" t="s">
        <v>1047</v>
      </c>
      <c r="B4" s="1416"/>
      <c r="C4" s="1416"/>
      <c r="D4" s="1416"/>
      <c r="E4" s="1417"/>
      <c r="F4" s="51"/>
      <c r="G4" s="51"/>
    </row>
    <row r="5" spans="1:7" ht="13.5" thickBot="1">
      <c r="A5" s="1418" t="s">
        <v>734</v>
      </c>
      <c r="B5" s="1419"/>
      <c r="C5" s="1419"/>
      <c r="D5" s="1419"/>
      <c r="E5" s="1420"/>
      <c r="F5" s="51"/>
      <c r="G5" s="51"/>
    </row>
    <row r="6" spans="1:7" ht="14.25" thickTop="1" thickBot="1">
      <c r="A6" s="51"/>
      <c r="B6" s="51"/>
      <c r="C6" s="879"/>
      <c r="D6" s="879"/>
      <c r="E6" s="51"/>
      <c r="F6" s="51"/>
      <c r="G6" s="51"/>
    </row>
    <row r="7" spans="1:7" ht="13.5" thickTop="1">
      <c r="A7" s="1415" t="s">
        <v>1048</v>
      </c>
      <c r="B7" s="1416"/>
      <c r="C7" s="1416"/>
      <c r="D7" s="1416"/>
      <c r="E7" s="1417"/>
      <c r="F7" s="51"/>
      <c r="G7" s="51"/>
    </row>
    <row r="8" spans="1:7">
      <c r="A8" s="1421" t="s">
        <v>1049</v>
      </c>
      <c r="B8" s="1422"/>
      <c r="C8" s="1422"/>
      <c r="D8" s="1422"/>
      <c r="E8" s="1423"/>
      <c r="F8" s="51"/>
      <c r="G8" s="51"/>
    </row>
    <row r="9" spans="1:7" ht="13.5" thickBot="1">
      <c r="A9" s="1412" t="s">
        <v>1050</v>
      </c>
      <c r="B9" s="1413"/>
      <c r="C9" s="1413"/>
      <c r="D9" s="1413"/>
      <c r="E9" s="1414"/>
      <c r="F9" s="51"/>
      <c r="G9" s="51"/>
    </row>
    <row r="10" spans="1:7" ht="14.25" thickTop="1" thickBot="1">
      <c r="A10" s="51"/>
      <c r="B10" s="51"/>
      <c r="C10" s="879"/>
      <c r="D10" s="879"/>
      <c r="E10" s="51"/>
      <c r="F10" s="51"/>
      <c r="G10" s="51"/>
    </row>
    <row r="11" spans="1:7" ht="13.5" thickTop="1">
      <c r="A11" s="1415" t="s">
        <v>1051</v>
      </c>
      <c r="B11" s="1416"/>
      <c r="C11" s="1416"/>
      <c r="D11" s="1416"/>
      <c r="E11" s="1417"/>
      <c r="F11" s="51"/>
      <c r="G11" s="51"/>
    </row>
    <row r="12" spans="1:7" ht="13.5" thickBot="1">
      <c r="A12" s="1412" t="s">
        <v>1052</v>
      </c>
      <c r="B12" s="1413"/>
      <c r="C12" s="1413"/>
      <c r="D12" s="1413"/>
      <c r="E12" s="1414"/>
      <c r="F12" s="51"/>
      <c r="G12" s="51"/>
    </row>
    <row r="13" spans="1:7" ht="14.25" thickTop="1" thickBot="1">
      <c r="A13" s="304"/>
      <c r="B13" s="304"/>
      <c r="C13" s="304"/>
      <c r="D13" s="304"/>
      <c r="E13" s="304"/>
      <c r="F13" s="51"/>
      <c r="G13" s="51"/>
    </row>
    <row r="14" spans="1:7" ht="65.25" thickTop="1" thickBot="1">
      <c r="A14" s="880" t="s">
        <v>689</v>
      </c>
      <c r="B14" s="51"/>
      <c r="C14" s="881" t="s">
        <v>689</v>
      </c>
      <c r="D14" s="51"/>
      <c r="E14" s="882" t="s">
        <v>690</v>
      </c>
      <c r="F14" s="51"/>
      <c r="G14" s="51"/>
    </row>
    <row r="15" spans="1:7" ht="14.25" thickTop="1" thickBot="1">
      <c r="A15" s="304"/>
      <c r="B15" s="51"/>
      <c r="C15" s="304"/>
      <c r="D15" s="304"/>
      <c r="E15" s="304"/>
      <c r="F15" s="51"/>
      <c r="G15" s="51"/>
    </row>
    <row r="16" spans="1:7" ht="13.5" thickTop="1">
      <c r="A16" s="304"/>
      <c r="B16" s="51"/>
      <c r="C16" s="883" t="s">
        <v>691</v>
      </c>
      <c r="D16" s="51"/>
      <c r="E16" s="304"/>
      <c r="F16" s="51"/>
      <c r="G16" s="51"/>
    </row>
    <row r="17" spans="1:7" ht="25.5">
      <c r="A17" s="304"/>
      <c r="B17" s="51"/>
      <c r="C17" s="884" t="s">
        <v>692</v>
      </c>
      <c r="D17" s="51"/>
      <c r="E17" s="304"/>
      <c r="F17" s="51"/>
      <c r="G17" s="51"/>
    </row>
    <row r="18" spans="1:7" ht="26.25" thickBot="1">
      <c r="A18" s="304"/>
      <c r="B18" s="51"/>
      <c r="C18" s="885" t="s">
        <v>693</v>
      </c>
      <c r="D18" s="51"/>
      <c r="E18" s="304"/>
      <c r="F18" s="51"/>
      <c r="G18" s="51"/>
    </row>
    <row r="19" spans="1:7" ht="14.25" thickTop="1" thickBot="1">
      <c r="A19" s="304"/>
      <c r="B19" s="51"/>
      <c r="C19" s="304"/>
      <c r="D19" s="304"/>
      <c r="E19" s="304"/>
      <c r="F19" s="51"/>
      <c r="G19" s="51"/>
    </row>
    <row r="20" spans="1:7" ht="27" thickTop="1" thickBot="1">
      <c r="A20" s="886" t="s">
        <v>694</v>
      </c>
      <c r="B20" s="338"/>
      <c r="C20" s="887" t="s">
        <v>695</v>
      </c>
      <c r="D20" s="339"/>
      <c r="E20" s="888" t="s">
        <v>696</v>
      </c>
      <c r="F20" s="51"/>
      <c r="G20" s="51"/>
    </row>
    <row r="21" spans="1:7" ht="14.25" thickTop="1" thickBot="1">
      <c r="A21" s="878"/>
      <c r="B21" s="51"/>
      <c r="C21" s="889"/>
      <c r="D21" s="51"/>
      <c r="E21" s="890"/>
      <c r="F21" s="51"/>
      <c r="G21" s="51"/>
    </row>
    <row r="22" spans="1:7" ht="65.25" thickTop="1" thickBot="1">
      <c r="A22" s="891" t="s">
        <v>697</v>
      </c>
      <c r="B22" s="340"/>
      <c r="C22" s="892" t="s">
        <v>698</v>
      </c>
      <c r="D22" s="340"/>
      <c r="E22" s="893" t="s">
        <v>699</v>
      </c>
      <c r="F22" s="51"/>
      <c r="G22" s="51"/>
    </row>
    <row r="23" spans="1:7" ht="13.5" thickTop="1">
      <c r="A23" s="51"/>
      <c r="B23" s="51"/>
      <c r="C23" s="51"/>
      <c r="D23" s="51"/>
      <c r="E23" s="51"/>
      <c r="F23" s="51"/>
      <c r="G23" s="51"/>
    </row>
  </sheetData>
  <mergeCells count="8">
    <mergeCell ref="A1:E1"/>
    <mergeCell ref="A12:E12"/>
    <mergeCell ref="A4:E4"/>
    <mergeCell ref="A5:E5"/>
    <mergeCell ref="A7:E7"/>
    <mergeCell ref="A8:E8"/>
    <mergeCell ref="A9:E9"/>
    <mergeCell ref="A11:E11"/>
  </mergeCells>
  <phoneticPr fontId="241" type="noConversion"/>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66"/>
  <sheetViews>
    <sheetView topLeftCell="A39" zoomScale="85" zoomScaleNormal="85" zoomScalePageLayoutView="85" workbookViewId="0">
      <selection activeCell="A69" sqref="A69"/>
    </sheetView>
  </sheetViews>
  <sheetFormatPr defaultColWidth="8.85546875" defaultRowHeight="12.75"/>
  <cols>
    <col min="1" max="1" width="31.42578125" style="51" customWidth="1"/>
    <col min="2" max="2" width="6.28515625" style="51" customWidth="1"/>
    <col min="3" max="7" width="14.42578125" style="51" customWidth="1"/>
    <col min="8" max="8" width="3.42578125" style="51" customWidth="1"/>
    <col min="9" max="9" width="60.7109375" style="51" customWidth="1"/>
    <col min="10" max="11" width="14.85546875" style="21" bestFit="1" customWidth="1"/>
    <col min="12" max="16384" width="8.85546875" style="21"/>
  </cols>
  <sheetData>
    <row r="1" spans="1:9" ht="15">
      <c r="A1" s="1383" t="s">
        <v>700</v>
      </c>
      <c r="B1" s="1384"/>
      <c r="I1" s="21"/>
    </row>
    <row r="2" spans="1:9">
      <c r="A2" s="36"/>
      <c r="I2" s="21"/>
    </row>
    <row r="3" spans="1:9" ht="15">
      <c r="A3" s="896" t="s">
        <v>1563</v>
      </c>
      <c r="B3" s="894"/>
      <c r="C3" s="895" t="s">
        <v>728</v>
      </c>
      <c r="D3" s="895" t="s">
        <v>727</v>
      </c>
      <c r="E3" s="895" t="s">
        <v>1317</v>
      </c>
      <c r="F3" s="895" t="s">
        <v>1318</v>
      </c>
      <c r="G3" s="895" t="s">
        <v>372</v>
      </c>
    </row>
    <row r="4" spans="1:9" ht="15">
      <c r="A4" s="898"/>
      <c r="B4" s="899"/>
      <c r="C4" s="401"/>
      <c r="D4" s="401"/>
      <c r="E4" s="401"/>
      <c r="F4" s="401"/>
      <c r="G4" s="401"/>
    </row>
    <row r="5" spans="1:9">
      <c r="A5" s="901" t="s">
        <v>712</v>
      </c>
      <c r="B5" s="901"/>
      <c r="C5" s="904">
        <f>'Income Statement'!C5</f>
        <v>44825</v>
      </c>
      <c r="D5" s="842">
        <f>'Income Statement'!D5</f>
        <v>269163</v>
      </c>
      <c r="E5" s="842">
        <f>'Income Statement'!E5</f>
        <v>1220214</v>
      </c>
      <c r="F5" s="842">
        <f>'Income Statement'!F5</f>
        <v>1720665</v>
      </c>
      <c r="G5" s="842">
        <f>'Income Statement'!G5</f>
        <v>2756964</v>
      </c>
    </row>
    <row r="6" spans="1:9">
      <c r="A6" s="902" t="s">
        <v>701</v>
      </c>
      <c r="B6" s="905">
        <f>'Other input data'!B30</f>
        <v>1</v>
      </c>
      <c r="C6" s="909"/>
      <c r="D6" s="909"/>
      <c r="E6" s="909"/>
      <c r="F6" s="909"/>
      <c r="G6" s="909"/>
      <c r="I6" s="1396" t="s">
        <v>1038</v>
      </c>
    </row>
    <row r="7" spans="1:9">
      <c r="A7" s="902" t="s">
        <v>702</v>
      </c>
      <c r="B7" s="906">
        <f>'Other input data'!B31</f>
        <v>0.1</v>
      </c>
      <c r="C7" s="909"/>
      <c r="D7" s="909"/>
      <c r="E7" s="909"/>
      <c r="F7" s="909"/>
      <c r="G7" s="909"/>
      <c r="I7" s="1396"/>
    </row>
    <row r="8" spans="1:9">
      <c r="A8" s="902" t="s">
        <v>703</v>
      </c>
      <c r="B8" s="906">
        <f>'Other input data'!B32</f>
        <v>0.08</v>
      </c>
      <c r="C8" s="909"/>
      <c r="D8" s="909"/>
      <c r="E8" s="909"/>
      <c r="F8" s="909"/>
      <c r="G8" s="909"/>
    </row>
    <row r="9" spans="1:9">
      <c r="A9" s="903" t="s">
        <v>704</v>
      </c>
      <c r="B9" s="907"/>
      <c r="C9" s="897">
        <f>'Ratios '!C12</f>
        <v>0.72705743469403916</v>
      </c>
      <c r="D9" s="897">
        <f>'Ratios '!D12</f>
        <v>0.69674081174194524</v>
      </c>
      <c r="E9" s="897">
        <f>'Ratios '!E12</f>
        <v>0.297562999125637</v>
      </c>
      <c r="F9" s="897">
        <f>'Ratios '!F12</f>
        <v>0.15064192622081463</v>
      </c>
      <c r="G9" s="897">
        <f>'Ratios '!G12</f>
        <v>0.10007602277605486</v>
      </c>
    </row>
    <row r="10" spans="1:9">
      <c r="A10" s="902" t="s">
        <v>714</v>
      </c>
      <c r="B10" s="907"/>
      <c r="C10" s="842">
        <f>-'Cash Flow Statement'!B46</f>
        <v>24500</v>
      </c>
      <c r="D10" s="842">
        <f>-'Cash Flow Statement'!C46</f>
        <v>49000</v>
      </c>
      <c r="E10" s="842">
        <f>-'Cash Flow Statement'!D46</f>
        <v>78000</v>
      </c>
      <c r="F10" s="842">
        <f>-'Cash Flow Statement'!E46</f>
        <v>104800</v>
      </c>
      <c r="G10" s="842">
        <f>-'Cash Flow Statement'!F46</f>
        <v>142000</v>
      </c>
    </row>
    <row r="11" spans="1:9">
      <c r="A11" s="902" t="s">
        <v>705</v>
      </c>
      <c r="B11" s="908"/>
      <c r="C11" s="842">
        <f>-'Cash Flow Statement'!B41</f>
        <v>56995</v>
      </c>
      <c r="D11" s="842">
        <f>-'Cash Flow Statement'!C41</f>
        <v>-34540</v>
      </c>
      <c r="E11" s="842">
        <f>-'Cash Flow Statement'!D41</f>
        <v>-69347</v>
      </c>
      <c r="F11" s="842">
        <f>-'Cash Flow Statement'!E41</f>
        <v>9520</v>
      </c>
      <c r="G11" s="842">
        <f>-'Cash Flow Statement'!F41</f>
        <v>-47777</v>
      </c>
    </row>
    <row r="12" spans="1:9">
      <c r="A12" s="902" t="s">
        <v>638</v>
      </c>
      <c r="B12" s="908"/>
      <c r="C12" s="842">
        <f>-'Cash Flow Statement'!B48</f>
        <v>245069</v>
      </c>
      <c r="D12" s="842">
        <f>-'Cash Flow Statement'!C48</f>
        <v>352</v>
      </c>
      <c r="E12" s="842">
        <f>-'Cash Flow Statement'!D48</f>
        <v>147248</v>
      </c>
      <c r="F12" s="842">
        <f>-'Cash Flow Statement'!E48</f>
        <v>133993</v>
      </c>
      <c r="G12" s="842">
        <f>-'Cash Flow Statement'!F48</f>
        <v>188558</v>
      </c>
    </row>
    <row r="13" spans="1:9">
      <c r="A13" s="902" t="s">
        <v>706</v>
      </c>
      <c r="B13" s="908"/>
      <c r="C13" s="897">
        <f>'Income Statement'!C31/'Income Statement'!C8</f>
        <v>-1.1832682654768545</v>
      </c>
      <c r="D13" s="897">
        <f>'Income Statement'!D31/'Income Statement'!D8</f>
        <v>3.5513796472769289E-2</v>
      </c>
      <c r="E13" s="897">
        <f>'Income Statement'!E31/'Income Statement'!E8</f>
        <v>0.37769604348089764</v>
      </c>
      <c r="F13" s="897">
        <f>'Income Statement'!F31/'Income Statement'!F8</f>
        <v>0.36696800364975168</v>
      </c>
      <c r="G13" s="897">
        <f>'Income Statement'!G31/'Income Statement'!G8</f>
        <v>0.43607170786415783</v>
      </c>
    </row>
    <row r="14" spans="1:9">
      <c r="A14" s="902" t="s">
        <v>707</v>
      </c>
      <c r="B14" s="906">
        <f>'Other input data'!B19</f>
        <v>0.35</v>
      </c>
      <c r="C14" s="909"/>
      <c r="D14" s="909"/>
      <c r="E14" s="909"/>
      <c r="F14" s="909"/>
      <c r="G14" s="909"/>
    </row>
    <row r="15" spans="1:9">
      <c r="A15" s="419"/>
      <c r="B15" s="419"/>
      <c r="C15" s="420"/>
      <c r="D15" s="411"/>
      <c r="E15" s="411"/>
      <c r="F15" s="411"/>
      <c r="G15" s="411"/>
    </row>
    <row r="16" spans="1:9" ht="14.1" customHeight="1">
      <c r="A16" s="896" t="s">
        <v>708</v>
      </c>
      <c r="B16" s="894"/>
      <c r="C16" s="895" t="s">
        <v>728</v>
      </c>
      <c r="D16" s="895" t="s">
        <v>727</v>
      </c>
      <c r="E16" s="895" t="s">
        <v>1317</v>
      </c>
      <c r="F16" s="895" t="s">
        <v>1318</v>
      </c>
      <c r="G16" s="895" t="s">
        <v>372</v>
      </c>
      <c r="I16" s="1396" t="s">
        <v>1042</v>
      </c>
    </row>
    <row r="17" spans="1:9" ht="14.1" customHeight="1">
      <c r="A17" s="898"/>
      <c r="B17" s="899"/>
      <c r="C17" s="401"/>
      <c r="D17" s="401"/>
      <c r="E17" s="401"/>
      <c r="F17" s="401"/>
      <c r="G17" s="401"/>
      <c r="I17" s="1396"/>
    </row>
    <row r="18" spans="1:9">
      <c r="A18" s="901" t="s">
        <v>712</v>
      </c>
      <c r="B18" s="901"/>
      <c r="C18" s="842">
        <f>C5</f>
        <v>44825</v>
      </c>
      <c r="D18" s="842">
        <f>D5</f>
        <v>269163</v>
      </c>
      <c r="E18" s="842">
        <f>E5</f>
        <v>1220214</v>
      </c>
      <c r="F18" s="842">
        <f>F5</f>
        <v>1720665</v>
      </c>
      <c r="G18" s="842">
        <f>G5</f>
        <v>2756964</v>
      </c>
      <c r="I18" s="1396"/>
    </row>
    <row r="19" spans="1:9">
      <c r="A19" s="901" t="s">
        <v>713</v>
      </c>
      <c r="B19" s="901"/>
      <c r="C19" s="897">
        <f>C13</f>
        <v>-1.1832682654768545</v>
      </c>
      <c r="D19" s="897">
        <f>D13</f>
        <v>3.5513796472769289E-2</v>
      </c>
      <c r="E19" s="897">
        <f>E13</f>
        <v>0.37769604348089764</v>
      </c>
      <c r="F19" s="897">
        <f>F13</f>
        <v>0.36696800364975168</v>
      </c>
      <c r="G19" s="897">
        <f>G13</f>
        <v>0.43607170786415783</v>
      </c>
    </row>
    <row r="20" spans="1:9">
      <c r="A20" s="901" t="s">
        <v>734</v>
      </c>
      <c r="B20" s="901"/>
      <c r="C20" s="842">
        <f>C19*C18</f>
        <v>-53040</v>
      </c>
      <c r="D20" s="842">
        <f>D19*D18</f>
        <v>9559</v>
      </c>
      <c r="E20" s="842">
        <f>E19*E18</f>
        <v>460870</v>
      </c>
      <c r="F20" s="842">
        <f>F19*F18</f>
        <v>631429</v>
      </c>
      <c r="G20" s="842">
        <f>G19*G18</f>
        <v>1202234</v>
      </c>
    </row>
    <row r="21" spans="1:9">
      <c r="A21" s="901" t="s">
        <v>714</v>
      </c>
      <c r="B21" s="901"/>
      <c r="C21" s="842">
        <f>C10</f>
        <v>24500</v>
      </c>
      <c r="D21" s="842">
        <f>D10</f>
        <v>49000</v>
      </c>
      <c r="E21" s="842">
        <f>E10</f>
        <v>78000</v>
      </c>
      <c r="F21" s="842">
        <f>F10</f>
        <v>104800</v>
      </c>
      <c r="G21" s="842">
        <f>G10</f>
        <v>142000</v>
      </c>
    </row>
    <row r="22" spans="1:9">
      <c r="A22" s="902" t="s">
        <v>638</v>
      </c>
      <c r="B22" s="902"/>
      <c r="C22" s="842">
        <f>C12*-1</f>
        <v>-245069</v>
      </c>
      <c r="D22" s="842">
        <f>D12*-1</f>
        <v>-352</v>
      </c>
      <c r="E22" s="842">
        <f>E12*-1</f>
        <v>-147248</v>
      </c>
      <c r="F22" s="842">
        <f>F12*-1</f>
        <v>-133993</v>
      </c>
      <c r="G22" s="842">
        <f>G12*-1</f>
        <v>-188558</v>
      </c>
    </row>
    <row r="23" spans="1:9">
      <c r="A23" s="902" t="s">
        <v>705</v>
      </c>
      <c r="B23" s="902"/>
      <c r="C23" s="842">
        <f>C11*-1</f>
        <v>-56995</v>
      </c>
      <c r="D23" s="842">
        <f>D11*-1</f>
        <v>34540</v>
      </c>
      <c r="E23" s="842">
        <f>E11*-1</f>
        <v>69347</v>
      </c>
      <c r="F23" s="842">
        <f>F11*-1</f>
        <v>-9520</v>
      </c>
      <c r="G23" s="842">
        <f>G11*-1</f>
        <v>47777</v>
      </c>
      <c r="I23" s="848" t="s">
        <v>1036</v>
      </c>
    </row>
    <row r="24" spans="1:9">
      <c r="A24" s="902" t="s">
        <v>715</v>
      </c>
      <c r="B24" s="902"/>
      <c r="C24" s="842">
        <f>C20+C21+C22+C23</f>
        <v>-330604</v>
      </c>
      <c r="D24" s="842">
        <f>D20+D21+D22+D23</f>
        <v>92747</v>
      </c>
      <c r="E24" s="842">
        <f>E20+E21+E22+E23</f>
        <v>460969</v>
      </c>
      <c r="F24" s="842">
        <f>F20+F21+F22+F23</f>
        <v>592716</v>
      </c>
      <c r="G24" s="842">
        <f>G20+G21+G22+G23</f>
        <v>1203453</v>
      </c>
      <c r="I24" s="1396" t="s">
        <v>1037</v>
      </c>
    </row>
    <row r="25" spans="1:9">
      <c r="A25" s="910" t="s">
        <v>711</v>
      </c>
      <c r="B25" s="901"/>
      <c r="C25" s="842">
        <f ca="1">C30*$C$9</f>
        <v>-1467917.2640819822</v>
      </c>
      <c r="D25" s="842">
        <f ca="1">D30*$C$9</f>
        <v>153587.83653530609</v>
      </c>
      <c r="E25" s="842">
        <f ca="1">E30*$C$9</f>
        <v>1002884.4279224615</v>
      </c>
      <c r="F25" s="842">
        <f ca="1">F30*$C$9</f>
        <v>1293914.8151293634</v>
      </c>
      <c r="G25" s="842">
        <f ca="1">G30*$C$9</f>
        <v>2953848.5364574054</v>
      </c>
      <c r="I25" s="1396"/>
    </row>
    <row r="26" spans="1:9">
      <c r="A26" s="901" t="s">
        <v>390</v>
      </c>
      <c r="B26" s="901"/>
      <c r="C26" s="842">
        <f ca="1">(C25*$B$7)</f>
        <v>-146791.72640819821</v>
      </c>
      <c r="D26" s="842">
        <f ca="1">(D25*$B$7)</f>
        <v>15358.783653530611</v>
      </c>
      <c r="E26" s="842">
        <f ca="1">(E25*$B$7)</f>
        <v>100288.44279224616</v>
      </c>
      <c r="F26" s="842">
        <f ca="1">(F25*$B$7)</f>
        <v>129391.48151293636</v>
      </c>
      <c r="G26" s="842">
        <f ca="1">(G25*$B$7)</f>
        <v>295384.85364574054</v>
      </c>
      <c r="I26" s="15"/>
    </row>
    <row r="27" spans="1:9" ht="12.75" customHeight="1">
      <c r="A27" s="903" t="s">
        <v>716</v>
      </c>
      <c r="B27" s="901"/>
      <c r="C27" s="842">
        <f ca="1">((C20)-($C26))*($B$14)</f>
        <v>32813.104242869376</v>
      </c>
      <c r="D27" s="842">
        <f ca="1">((D20)-($C26))*($B$14)</f>
        <v>54722.754242869371</v>
      </c>
      <c r="E27" s="842">
        <f ca="1">((E20)-($C26))*($B$14)</f>
        <v>212681.60424286936</v>
      </c>
      <c r="F27" s="842">
        <f ca="1">((F20)-($C26))*($B$14)</f>
        <v>272377.25424286939</v>
      </c>
      <c r="G27" s="842">
        <f ca="1">((G20)-($C26))*($B$14)</f>
        <v>472159.00424286933</v>
      </c>
      <c r="I27" s="1396" t="s">
        <v>1039</v>
      </c>
    </row>
    <row r="28" spans="1:9">
      <c r="A28" s="901" t="s">
        <v>718</v>
      </c>
      <c r="B28" s="911"/>
      <c r="C28" s="842">
        <f ca="1">C24-C27</f>
        <v>-363417.10424286936</v>
      </c>
      <c r="D28" s="842">
        <f ca="1">D24-D27</f>
        <v>38024.245757130629</v>
      </c>
      <c r="E28" s="842">
        <f ca="1">E24-E27</f>
        <v>248287.39575713064</v>
      </c>
      <c r="F28" s="842">
        <f ca="1">F24-F27</f>
        <v>320338.74575713061</v>
      </c>
      <c r="G28" s="842">
        <f ca="1">G24-G27</f>
        <v>731293.99575713067</v>
      </c>
      <c r="I28" s="1396"/>
    </row>
    <row r="29" spans="1:9">
      <c r="A29" s="901" t="s">
        <v>721</v>
      </c>
      <c r="B29" s="901"/>
      <c r="C29" s="897">
        <f>$B$7+($B$6*$B$8)</f>
        <v>0.18</v>
      </c>
      <c r="D29" s="897">
        <f>$B$7+($B$6*$B$8)</f>
        <v>0.18</v>
      </c>
      <c r="E29" s="897">
        <f>$B$7+($B$6*$B$8)</f>
        <v>0.18</v>
      </c>
      <c r="F29" s="897">
        <f>$B$7+($B$6*$B$8)</f>
        <v>0.18</v>
      </c>
      <c r="G29" s="897">
        <f>$B$7+($B$6*$B$8)</f>
        <v>0.18</v>
      </c>
      <c r="I29" s="1396"/>
    </row>
    <row r="30" spans="1:9">
      <c r="A30" s="901" t="s">
        <v>1549</v>
      </c>
      <c r="B30" s="912"/>
      <c r="C30" s="842">
        <f ca="1">C28/C29</f>
        <v>-2018983.9124603854</v>
      </c>
      <c r="D30" s="842">
        <f ca="1">D28/D29</f>
        <v>211245.80976183683</v>
      </c>
      <c r="E30" s="842">
        <f ca="1">E28/E29</f>
        <v>1379374.4208729481</v>
      </c>
      <c r="F30" s="842">
        <f ca="1">F28/F29</f>
        <v>1779659.6986507257</v>
      </c>
      <c r="G30" s="842">
        <f ca="1">G28/G29</f>
        <v>4062744.4208729481</v>
      </c>
      <c r="I30" s="1396"/>
    </row>
    <row r="31" spans="1:9">
      <c r="B31" s="411"/>
      <c r="C31" s="411"/>
      <c r="D31" s="411"/>
      <c r="E31" s="411"/>
      <c r="F31" s="411"/>
      <c r="G31" s="411"/>
    </row>
    <row r="32" spans="1:9" ht="15">
      <c r="A32" s="896" t="s">
        <v>709</v>
      </c>
      <c r="B32" s="894"/>
      <c r="C32" s="895" t="s">
        <v>728</v>
      </c>
      <c r="D32" s="895" t="s">
        <v>727</v>
      </c>
      <c r="E32" s="895" t="s">
        <v>1317</v>
      </c>
      <c r="F32" s="895" t="s">
        <v>1318</v>
      </c>
      <c r="G32" s="895" t="s">
        <v>372</v>
      </c>
      <c r="I32" s="1396" t="s">
        <v>1046</v>
      </c>
    </row>
    <row r="33" spans="1:9" ht="15">
      <c r="A33" s="898"/>
      <c r="B33" s="899"/>
      <c r="C33" s="401"/>
      <c r="D33" s="401"/>
      <c r="E33" s="401"/>
      <c r="F33" s="401"/>
      <c r="G33" s="401"/>
      <c r="I33" s="1396"/>
    </row>
    <row r="34" spans="1:9">
      <c r="A34" s="910" t="s">
        <v>711</v>
      </c>
      <c r="B34" s="909"/>
      <c r="C34" s="842">
        <f ca="1">C25</f>
        <v>-1467917.2640819822</v>
      </c>
      <c r="D34" s="842">
        <f ca="1">D25</f>
        <v>153587.83653530609</v>
      </c>
      <c r="E34" s="842">
        <f ca="1">E25</f>
        <v>1002884.4279224615</v>
      </c>
      <c r="F34" s="842">
        <f ca="1">F25</f>
        <v>1293914.8151293634</v>
      </c>
      <c r="G34" s="842">
        <f ca="1">G25</f>
        <v>2953848.5364574054</v>
      </c>
      <c r="I34" s="1396"/>
    </row>
    <row r="35" spans="1:9">
      <c r="A35" s="901" t="s">
        <v>712</v>
      </c>
      <c r="B35" s="913"/>
      <c r="C35" s="900">
        <f>C5</f>
        <v>44825</v>
      </c>
      <c r="D35" s="900">
        <f>D5</f>
        <v>269163</v>
      </c>
      <c r="E35" s="900">
        <f>E5</f>
        <v>1220214</v>
      </c>
      <c r="F35" s="900">
        <f>F5</f>
        <v>1720665</v>
      </c>
      <c r="G35" s="900">
        <f>G5</f>
        <v>2756964</v>
      </c>
    </row>
    <row r="36" spans="1:9">
      <c r="A36" s="901" t="s">
        <v>713</v>
      </c>
      <c r="B36" s="909"/>
      <c r="C36" s="921">
        <f>C13</f>
        <v>-1.1832682654768545</v>
      </c>
      <c r="D36" s="921">
        <f>D13</f>
        <v>3.5513796472769289E-2</v>
      </c>
      <c r="E36" s="921">
        <f>E13</f>
        <v>0.37769604348089764</v>
      </c>
      <c r="F36" s="921">
        <f>F13</f>
        <v>0.36696800364975168</v>
      </c>
      <c r="G36" s="921">
        <f>G13</f>
        <v>0.43607170786415783</v>
      </c>
    </row>
    <row r="37" spans="1:9">
      <c r="A37" s="901" t="s">
        <v>734</v>
      </c>
      <c r="B37" s="909"/>
      <c r="C37" s="842">
        <f>C36*C35</f>
        <v>-53040</v>
      </c>
      <c r="D37" s="842">
        <f>D36*D35</f>
        <v>9559</v>
      </c>
      <c r="E37" s="842">
        <f>E36*E35</f>
        <v>460870</v>
      </c>
      <c r="F37" s="842">
        <f>F36*F35</f>
        <v>631429</v>
      </c>
      <c r="G37" s="842">
        <f>G36*G35</f>
        <v>1202234</v>
      </c>
    </row>
    <row r="38" spans="1:9">
      <c r="A38" s="901" t="s">
        <v>714</v>
      </c>
      <c r="B38" s="909"/>
      <c r="C38" s="842">
        <f>C10</f>
        <v>24500</v>
      </c>
      <c r="D38" s="842">
        <f>D10</f>
        <v>49000</v>
      </c>
      <c r="E38" s="842">
        <f>E10</f>
        <v>78000</v>
      </c>
      <c r="F38" s="842">
        <f>F10</f>
        <v>104800</v>
      </c>
      <c r="G38" s="842">
        <f>G10</f>
        <v>142000</v>
      </c>
    </row>
    <row r="39" spans="1:9">
      <c r="A39" s="902" t="s">
        <v>638</v>
      </c>
      <c r="B39" s="909"/>
      <c r="C39" s="842">
        <f>-C12</f>
        <v>-245069</v>
      </c>
      <c r="D39" s="842">
        <f>-D12</f>
        <v>-352</v>
      </c>
      <c r="E39" s="842">
        <f>-E12</f>
        <v>-147248</v>
      </c>
      <c r="F39" s="842">
        <f>-F12</f>
        <v>-133993</v>
      </c>
      <c r="G39" s="842">
        <f>-G12</f>
        <v>-188558</v>
      </c>
    </row>
    <row r="40" spans="1:9">
      <c r="A40" s="902" t="s">
        <v>705</v>
      </c>
      <c r="B40" s="909"/>
      <c r="C40" s="842">
        <f>-C11</f>
        <v>-56995</v>
      </c>
      <c r="D40" s="842">
        <f>-D11</f>
        <v>34540</v>
      </c>
      <c r="E40" s="842">
        <f>-E11</f>
        <v>69347</v>
      </c>
      <c r="F40" s="842">
        <f>-F11</f>
        <v>-9520</v>
      </c>
      <c r="G40" s="842">
        <f>-G11</f>
        <v>47777</v>
      </c>
    </row>
    <row r="41" spans="1:9">
      <c r="A41" s="910" t="s">
        <v>715</v>
      </c>
      <c r="B41" s="909"/>
      <c r="C41" s="842">
        <f>C37+C38+C39+C40</f>
        <v>-330604</v>
      </c>
      <c r="D41" s="842">
        <f>D37+D38+D39+D40</f>
        <v>92747</v>
      </c>
      <c r="E41" s="842">
        <f>E37+E38+E39+E40</f>
        <v>460969</v>
      </c>
      <c r="F41" s="842">
        <f>F37+F38+F39+F40</f>
        <v>592716</v>
      </c>
      <c r="G41" s="842">
        <f>G37+G38+G39+G40</f>
        <v>1203453</v>
      </c>
    </row>
    <row r="42" spans="1:9">
      <c r="A42" s="901" t="s">
        <v>711</v>
      </c>
      <c r="B42" s="909"/>
      <c r="C42" s="842">
        <f ca="1">(C34*$B$7)</f>
        <v>-146791.72640819821</v>
      </c>
      <c r="D42" s="842">
        <f ca="1">(D34*$B$7)</f>
        <v>15358.783653530611</v>
      </c>
      <c r="E42" s="842">
        <f ca="1">(E34*$B$7)</f>
        <v>100288.44279224616</v>
      </c>
      <c r="F42" s="842">
        <f ca="1">(F34*$B$7)</f>
        <v>129391.48151293636</v>
      </c>
      <c r="G42" s="842">
        <f ca="1">(G34*$B$7)</f>
        <v>295384.85364574054</v>
      </c>
      <c r="I42" s="1396" t="s">
        <v>1040</v>
      </c>
    </row>
    <row r="43" spans="1:9">
      <c r="A43" s="901" t="s">
        <v>716</v>
      </c>
      <c r="B43" s="909"/>
      <c r="C43" s="842">
        <f ca="1">((C37)-(C42))*($B$14)</f>
        <v>32813.104242869376</v>
      </c>
      <c r="D43" s="842">
        <f ca="1">((D37)-(D42))*($B$14)</f>
        <v>-2029.9242787357136</v>
      </c>
      <c r="E43" s="842">
        <f ca="1">((E37)-(E42))*($B$14)</f>
        <v>126203.54502271384</v>
      </c>
      <c r="F43" s="842">
        <f ca="1">((F37)-(F42))*($B$14)</f>
        <v>175713.13147047226</v>
      </c>
      <c r="G43" s="842">
        <f ca="1">((G37)-(G42))*($B$14)</f>
        <v>317397.20122399076</v>
      </c>
      <c r="I43" s="1396"/>
    </row>
    <row r="44" spans="1:9">
      <c r="A44" s="901" t="s">
        <v>719</v>
      </c>
      <c r="B44" s="909"/>
      <c r="C44" s="842">
        <f ca="1">C41-C43-C42</f>
        <v>-216625.37783467115</v>
      </c>
      <c r="D44" s="842">
        <f ca="1">D41-D43-D42</f>
        <v>79418.140625205095</v>
      </c>
      <c r="E44" s="842">
        <f ca="1">E41-E43-E42</f>
        <v>234477.01218503999</v>
      </c>
      <c r="F44" s="842">
        <f ca="1">F41-F43-F42</f>
        <v>287611.38701659138</v>
      </c>
      <c r="G44" s="842">
        <f ca="1">G41-G43-G42</f>
        <v>590670.94513026869</v>
      </c>
      <c r="I44" s="1396" t="s">
        <v>1043</v>
      </c>
    </row>
    <row r="45" spans="1:9">
      <c r="A45" s="901" t="s">
        <v>722</v>
      </c>
      <c r="B45" s="909"/>
      <c r="C45" s="897">
        <f>$B$7+((($B$6*((1+(C9/(1-C9))))*$B$8)))</f>
        <v>0.39310195685426452</v>
      </c>
      <c r="D45" s="897">
        <f>$B$7+((($B$6*((1+(D9/(1-D9))))*$B$8)))</f>
        <v>0.36380074569059706</v>
      </c>
      <c r="E45" s="897">
        <f>$B$7+((($B$6*((1+(E9/(1-E9))))*$B$8)))</f>
        <v>0.2138892169695211</v>
      </c>
      <c r="F45" s="897">
        <f>$B$7+((($B$6*((1+(F9/(1-F9))))*$B$8)))</f>
        <v>0.19418877911414104</v>
      </c>
      <c r="G45" s="897">
        <f>$B$7+((($B$6*((1+(G9/(1-G9))))*$B$8)))</f>
        <v>0.18889639794550345</v>
      </c>
      <c r="I45" s="1396"/>
    </row>
    <row r="46" spans="1:9">
      <c r="A46" s="902" t="s">
        <v>1550</v>
      </c>
      <c r="B46" s="909"/>
      <c r="C46" s="842">
        <f ca="1">C44/C45</f>
        <v>-551066.64837840304</v>
      </c>
      <c r="D46" s="842">
        <f ca="1">D44/D45</f>
        <v>224275.04561783597</v>
      </c>
      <c r="E46" s="842">
        <f ca="1">E44/E45</f>
        <v>1101933.3562252962</v>
      </c>
      <c r="F46" s="842">
        <f ca="1">F44/F45</f>
        <v>1485013.0338208901</v>
      </c>
      <c r="G46" s="842">
        <f ca="1">G44/G45</f>
        <v>3130941.6473351489</v>
      </c>
      <c r="I46" s="1424" t="s">
        <v>1041</v>
      </c>
    </row>
    <row r="47" spans="1:9">
      <c r="A47" s="902" t="s">
        <v>1552</v>
      </c>
      <c r="B47" s="909"/>
      <c r="C47" s="842">
        <f ca="1">C42/$B$7</f>
        <v>-1467917.264081982</v>
      </c>
      <c r="D47" s="842">
        <f ca="1">D42/$B$7</f>
        <v>153587.83653530609</v>
      </c>
      <c r="E47" s="842">
        <f ca="1">E42/$B$7</f>
        <v>1002884.4279224615</v>
      </c>
      <c r="F47" s="842">
        <f ca="1">F42/$B$7</f>
        <v>1293914.8151293634</v>
      </c>
      <c r="G47" s="842">
        <f ca="1">G42/$B$7</f>
        <v>2953848.5364574054</v>
      </c>
      <c r="I47" s="1424"/>
    </row>
    <row r="48" spans="1:9">
      <c r="A48" s="910" t="s">
        <v>1553</v>
      </c>
      <c r="B48" s="909"/>
      <c r="C48" s="842">
        <f ca="1">C46+C47</f>
        <v>-2018983.9124603849</v>
      </c>
      <c r="D48" s="842">
        <f ca="1">D46+D47</f>
        <v>377862.88215314207</v>
      </c>
      <c r="E48" s="842">
        <f ca="1">E46+E47</f>
        <v>2104817.7841477576</v>
      </c>
      <c r="F48" s="842">
        <f ca="1">F46+F47</f>
        <v>2778927.8489502538</v>
      </c>
      <c r="G48" s="842">
        <f ca="1">G46+G47</f>
        <v>6084790.1837925538</v>
      </c>
    </row>
    <row r="49" spans="1:9">
      <c r="A49" s="411"/>
      <c r="B49" s="411"/>
      <c r="C49" s="411"/>
      <c r="D49" s="411"/>
      <c r="E49" s="411"/>
      <c r="F49" s="411"/>
      <c r="G49" s="411"/>
    </row>
    <row r="50" spans="1:9" ht="15">
      <c r="A50" s="896" t="s">
        <v>710</v>
      </c>
      <c r="B50" s="894"/>
      <c r="C50" s="895" t="s">
        <v>728</v>
      </c>
      <c r="D50" s="895" t="s">
        <v>727</v>
      </c>
      <c r="E50" s="895" t="s">
        <v>1317</v>
      </c>
      <c r="F50" s="895" t="s">
        <v>1318</v>
      </c>
      <c r="G50" s="895" t="s">
        <v>372</v>
      </c>
      <c r="I50" s="1396" t="s">
        <v>1045</v>
      </c>
    </row>
    <row r="51" spans="1:9" ht="15">
      <c r="A51" s="898"/>
      <c r="B51" s="909"/>
      <c r="C51" s="401"/>
      <c r="D51" s="401"/>
      <c r="E51" s="401"/>
      <c r="F51" s="401"/>
      <c r="G51" s="401"/>
      <c r="I51" s="1396"/>
    </row>
    <row r="52" spans="1:9">
      <c r="A52" s="914" t="str">
        <f>A34</f>
        <v>Debt = Debt% * Firm Value</v>
      </c>
      <c r="B52" s="909"/>
      <c r="C52" s="904">
        <f ca="1">C25</f>
        <v>-1467917.2640819822</v>
      </c>
      <c r="D52" s="842">
        <f ca="1">D25</f>
        <v>153587.83653530609</v>
      </c>
      <c r="E52" s="842">
        <f ca="1">E25</f>
        <v>1002884.4279224615</v>
      </c>
      <c r="F52" s="842">
        <f ca="1">F25</f>
        <v>1293914.8151293634</v>
      </c>
      <c r="G52" s="842">
        <f ca="1">G25</f>
        <v>2953848.5364574054</v>
      </c>
      <c r="I52" s="1396"/>
    </row>
    <row r="53" spans="1:9">
      <c r="A53" s="915" t="s">
        <v>712</v>
      </c>
      <c r="B53" s="909"/>
      <c r="C53" s="919">
        <f>C5</f>
        <v>44825</v>
      </c>
      <c r="D53" s="900">
        <f>D5</f>
        <v>269163</v>
      </c>
      <c r="E53" s="900">
        <f>E5</f>
        <v>1220214</v>
      </c>
      <c r="F53" s="900">
        <f>F5</f>
        <v>1720665</v>
      </c>
      <c r="G53" s="900">
        <f>G5</f>
        <v>2756964</v>
      </c>
    </row>
    <row r="54" spans="1:9">
      <c r="A54" s="915" t="s">
        <v>713</v>
      </c>
      <c r="B54" s="909"/>
      <c r="C54" s="920">
        <f>C13</f>
        <v>-1.1832682654768545</v>
      </c>
      <c r="D54" s="921">
        <f>D13</f>
        <v>3.5513796472769289E-2</v>
      </c>
      <c r="E54" s="921">
        <f>E13</f>
        <v>0.37769604348089764</v>
      </c>
      <c r="F54" s="921">
        <f>F13</f>
        <v>0.36696800364975168</v>
      </c>
      <c r="G54" s="921">
        <f>G13</f>
        <v>0.43607170786415783</v>
      </c>
    </row>
    <row r="55" spans="1:9">
      <c r="A55" s="915" t="s">
        <v>734</v>
      </c>
      <c r="B55" s="909"/>
      <c r="C55" s="904">
        <f>C54*C53</f>
        <v>-53040</v>
      </c>
      <c r="D55" s="842">
        <f>D54*D53</f>
        <v>9559</v>
      </c>
      <c r="E55" s="842">
        <f>E54*E53</f>
        <v>460870</v>
      </c>
      <c r="F55" s="842">
        <f>F54*F53</f>
        <v>631429</v>
      </c>
      <c r="G55" s="842">
        <f>G54*G53</f>
        <v>1202234</v>
      </c>
    </row>
    <row r="56" spans="1:9">
      <c r="A56" s="915" t="s">
        <v>714</v>
      </c>
      <c r="B56" s="909"/>
      <c r="C56" s="904">
        <f>C10</f>
        <v>24500</v>
      </c>
      <c r="D56" s="842">
        <f>D10</f>
        <v>49000</v>
      </c>
      <c r="E56" s="842">
        <f>E10</f>
        <v>78000</v>
      </c>
      <c r="F56" s="842">
        <f>F10</f>
        <v>104800</v>
      </c>
      <c r="G56" s="842">
        <f>G10</f>
        <v>142000</v>
      </c>
    </row>
    <row r="57" spans="1:9">
      <c r="A57" s="916" t="s">
        <v>638</v>
      </c>
      <c r="B57" s="909"/>
      <c r="C57" s="904">
        <f>-C12</f>
        <v>-245069</v>
      </c>
      <c r="D57" s="842">
        <f>-D12</f>
        <v>-352</v>
      </c>
      <c r="E57" s="842">
        <f>-E12</f>
        <v>-147248</v>
      </c>
      <c r="F57" s="842">
        <f>-F12</f>
        <v>-133993</v>
      </c>
      <c r="G57" s="842">
        <f>-G12</f>
        <v>-188558</v>
      </c>
    </row>
    <row r="58" spans="1:9">
      <c r="A58" s="916" t="s">
        <v>705</v>
      </c>
      <c r="B58" s="909"/>
      <c r="C58" s="904">
        <f>-C11</f>
        <v>-56995</v>
      </c>
      <c r="D58" s="842">
        <f>-D11</f>
        <v>34540</v>
      </c>
      <c r="E58" s="842">
        <f>-E11</f>
        <v>69347</v>
      </c>
      <c r="F58" s="842">
        <f>-F11</f>
        <v>-9520</v>
      </c>
      <c r="G58" s="842">
        <f>-G11</f>
        <v>47777</v>
      </c>
    </row>
    <row r="59" spans="1:9">
      <c r="A59" s="916" t="s">
        <v>715</v>
      </c>
      <c r="B59" s="909"/>
      <c r="C59" s="904">
        <f>C55+C56+C57+C58</f>
        <v>-330604</v>
      </c>
      <c r="D59" s="842">
        <f>D55+D56+D57+D58</f>
        <v>92747</v>
      </c>
      <c r="E59" s="842">
        <f>E55+E56+E57+E58</f>
        <v>460969</v>
      </c>
      <c r="F59" s="842">
        <f>F55+F56+F57+F58</f>
        <v>592716</v>
      </c>
      <c r="G59" s="842">
        <f>G55+G56+G57+G58</f>
        <v>1203453</v>
      </c>
    </row>
    <row r="60" spans="1:9">
      <c r="A60" s="917" t="s">
        <v>717</v>
      </c>
      <c r="B60" s="909"/>
      <c r="C60" s="904">
        <f>((C55))*($B$14)</f>
        <v>-18564</v>
      </c>
      <c r="D60" s="842">
        <f>((D55))*($B$14)</f>
        <v>3345.6499999999996</v>
      </c>
      <c r="E60" s="842">
        <f>((E55))*($B$14)</f>
        <v>161304.5</v>
      </c>
      <c r="F60" s="842">
        <f>((F55))*($B$14)</f>
        <v>221000.15</v>
      </c>
      <c r="G60" s="842">
        <f>((G55))*($B$14)</f>
        <v>420781.89999999997</v>
      </c>
    </row>
    <row r="61" spans="1:9">
      <c r="A61" s="914" t="s">
        <v>711</v>
      </c>
      <c r="B61" s="912"/>
      <c r="C61" s="904">
        <f ca="1">(C52*$B$7)</f>
        <v>-146791.72640819821</v>
      </c>
      <c r="D61" s="842">
        <f ca="1">(D52*$B$7)</f>
        <v>15358.783653530611</v>
      </c>
      <c r="E61" s="842">
        <f ca="1">(E52*$B$7)</f>
        <v>100288.44279224616</v>
      </c>
      <c r="F61" s="842">
        <f ca="1">(F52*$B$7)</f>
        <v>129391.48151293636</v>
      </c>
      <c r="G61" s="842">
        <f ca="1">(G52*$B$7)</f>
        <v>295384.85364574054</v>
      </c>
    </row>
    <row r="62" spans="1:9">
      <c r="A62" s="914" t="s">
        <v>720</v>
      </c>
      <c r="B62" s="909"/>
      <c r="C62" s="904">
        <f>C59-C60</f>
        <v>-312040</v>
      </c>
      <c r="D62" s="842">
        <f>D59-D60</f>
        <v>89401.35</v>
      </c>
      <c r="E62" s="842">
        <f>E59-E60</f>
        <v>299664.5</v>
      </c>
      <c r="F62" s="842">
        <f>F59-F60</f>
        <v>371715.85</v>
      </c>
      <c r="G62" s="842">
        <f>G59-G60</f>
        <v>782671.10000000009</v>
      </c>
      <c r="I62" s="1396" t="s">
        <v>1044</v>
      </c>
    </row>
    <row r="63" spans="1:9" ht="25.5">
      <c r="A63" s="914" t="s">
        <v>723</v>
      </c>
      <c r="B63" s="909"/>
      <c r="C63" s="918">
        <f>((C9*$B$7)*(1-$B$14))+(1-C9)*(($B$7)+($B$8)*($B$6)*(1+(C9)/(1-C9)))</f>
        <v>0.15455298978570864</v>
      </c>
      <c r="D63" s="897">
        <f>((D9*$B$7)*(1-$B$14))+(1-D9)*(($B$7)+($B$8)*($B$6)*(1+(D9)/(1-D9)))</f>
        <v>0.15561407158903193</v>
      </c>
      <c r="E63" s="897">
        <f>((E9*$B$7)*(1-$B$14))+(1-E9)*(($B$7)+($B$8)*($B$6)*(1+(E9)/(1-E9)))</f>
        <v>0.16958529503060271</v>
      </c>
      <c r="F63" s="897">
        <f>((F9*$B$7)*(1-$B$14))+(1-F9)*(($B$7)+($B$8)*($B$6)*(1+(F9)/(1-F9)))</f>
        <v>0.1747275325822715</v>
      </c>
      <c r="G63" s="897">
        <f>((G9*$B$7)*(1-$B$14))+(1-G9)*(($B$7)+($B$8)*($B$6)*(1+(G9)/(1-G9)))</f>
        <v>0.17649733920283808</v>
      </c>
      <c r="I63" s="1396"/>
    </row>
    <row r="64" spans="1:9">
      <c r="A64" s="914" t="s">
        <v>1551</v>
      </c>
      <c r="B64" s="909"/>
      <c r="C64" s="904">
        <f>C62/C63</f>
        <v>-2018983.9124603854</v>
      </c>
      <c r="D64" s="842">
        <f>D62/D63</f>
        <v>574506.84945834451</v>
      </c>
      <c r="E64" s="842">
        <f>E62/E63</f>
        <v>1767042.9499557947</v>
      </c>
      <c r="F64" s="842">
        <f>F62/F63</f>
        <v>2127402.8454844421</v>
      </c>
      <c r="G64" s="842">
        <f>G62/G63</f>
        <v>4434464.018182857</v>
      </c>
    </row>
    <row r="65" spans="1:1">
      <c r="A65" s="21"/>
    </row>
    <row r="66" spans="1:1">
      <c r="A66" s="21"/>
    </row>
  </sheetData>
  <mergeCells count="11">
    <mergeCell ref="I50:I52"/>
    <mergeCell ref="A1:B1"/>
    <mergeCell ref="I62:I63"/>
    <mergeCell ref="I46:I47"/>
    <mergeCell ref="I24:I25"/>
    <mergeCell ref="I6:I7"/>
    <mergeCell ref="I27:I30"/>
    <mergeCell ref="I16:I18"/>
    <mergeCell ref="I32:I34"/>
    <mergeCell ref="I42:I43"/>
    <mergeCell ref="I44:I45"/>
  </mergeCells>
  <phoneticPr fontId="139" type="noConversion"/>
  <pageMargins left="0.7" right="0.7" top="0.75" bottom="0.75" header="0.3" footer="0.3"/>
  <pageSetup paperSize="9" scale="50" orientation="portrait" horizontalDpi="4294967292" verticalDpi="4294967292"/>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M64"/>
  <sheetViews>
    <sheetView topLeftCell="A51" zoomScale="115" zoomScaleNormal="115" zoomScalePageLayoutView="115" workbookViewId="0">
      <selection activeCell="B72" sqref="B72"/>
    </sheetView>
  </sheetViews>
  <sheetFormatPr defaultColWidth="12.42578125" defaultRowHeight="12.75"/>
  <cols>
    <col min="1" max="1" width="48.140625" style="367" customWidth="1"/>
    <col min="2" max="2" width="8.140625" style="21" customWidth="1"/>
    <col min="3" max="7" width="12.42578125" style="21"/>
    <col min="8" max="8" width="4.42578125" style="21" customWidth="1"/>
    <col min="9" max="9" width="47.140625" style="376" customWidth="1"/>
    <col min="10" max="16384" width="12.42578125" style="21"/>
  </cols>
  <sheetData>
    <row r="1" spans="1:13" s="306" customFormat="1" ht="23.25" customHeight="1">
      <c r="A1" s="1383" t="s">
        <v>585</v>
      </c>
      <c r="B1" s="1384"/>
      <c r="C1" s="307"/>
      <c r="D1" s="307"/>
      <c r="E1" s="307"/>
      <c r="F1" s="307"/>
      <c r="I1" s="375"/>
    </row>
    <row r="2" spans="1:13" s="306" customFormat="1" ht="16.5" customHeight="1" thickBot="1">
      <c r="A2" s="363"/>
      <c r="I2" s="375"/>
    </row>
    <row r="3" spans="1:13" s="306" customFormat="1" ht="20.25" customHeight="1">
      <c r="A3" s="364" t="s">
        <v>586</v>
      </c>
      <c r="B3" s="311"/>
      <c r="C3" s="310"/>
      <c r="D3" s="310"/>
      <c r="E3" s="310"/>
      <c r="F3" s="312"/>
      <c r="I3" s="375"/>
    </row>
    <row r="4" spans="1:13" s="306" customFormat="1" ht="19.5" customHeight="1">
      <c r="A4" s="365" t="s">
        <v>587</v>
      </c>
      <c r="B4" s="315"/>
      <c r="C4" s="314"/>
      <c r="D4" s="314"/>
      <c r="E4" s="314"/>
      <c r="F4" s="316"/>
      <c r="I4" s="1396" t="s">
        <v>1053</v>
      </c>
    </row>
    <row r="5" spans="1:13" s="306" customFormat="1" ht="19.5" customHeight="1" thickBot="1">
      <c r="A5" s="366" t="s">
        <v>588</v>
      </c>
      <c r="B5" s="319"/>
      <c r="C5" s="318"/>
      <c r="D5" s="318"/>
      <c r="E5" s="318"/>
      <c r="F5" s="320"/>
      <c r="I5" s="1396"/>
    </row>
    <row r="6" spans="1:13" s="322" customFormat="1" ht="15">
      <c r="A6" s="367"/>
      <c r="C6" s="21"/>
      <c r="D6" s="21"/>
      <c r="E6" s="21"/>
      <c r="F6" s="21"/>
      <c r="G6" s="21"/>
      <c r="H6" s="21"/>
      <c r="I6" s="1396"/>
      <c r="J6" s="21"/>
      <c r="K6" s="21"/>
      <c r="L6" s="321"/>
      <c r="M6" s="321"/>
    </row>
    <row r="7" spans="1:13" s="322" customFormat="1" ht="15">
      <c r="A7" s="367" t="s">
        <v>589</v>
      </c>
      <c r="C7" s="21"/>
      <c r="D7" s="21"/>
      <c r="E7" s="21"/>
      <c r="F7" s="21"/>
      <c r="G7" s="21"/>
      <c r="H7" s="21"/>
      <c r="I7" s="1396"/>
      <c r="J7" s="21"/>
      <c r="K7" s="21"/>
      <c r="L7" s="321"/>
      <c r="M7" s="321"/>
    </row>
    <row r="8" spans="1:13" s="322" customFormat="1" ht="15">
      <c r="A8" s="367" t="s">
        <v>590</v>
      </c>
      <c r="C8" s="21"/>
      <c r="D8" s="21"/>
      <c r="E8" s="21"/>
      <c r="F8" s="21"/>
      <c r="G8" s="21"/>
      <c r="H8" s="21"/>
      <c r="I8" s="376"/>
      <c r="J8" s="21"/>
      <c r="K8" s="21"/>
      <c r="L8" s="321"/>
      <c r="M8" s="321"/>
    </row>
    <row r="9" spans="1:13" s="322" customFormat="1" ht="15">
      <c r="A9" s="367" t="s">
        <v>591</v>
      </c>
      <c r="C9" s="21"/>
      <c r="D9" s="21"/>
      <c r="E9" s="21"/>
      <c r="F9" s="21"/>
      <c r="G9" s="21"/>
      <c r="H9" s="21"/>
      <c r="I9" s="376"/>
      <c r="J9" s="21"/>
      <c r="K9" s="21"/>
      <c r="L9" s="321"/>
      <c r="M9" s="321"/>
    </row>
    <row r="10" spans="1:13" s="322" customFormat="1" ht="15">
      <c r="A10" s="367"/>
      <c r="C10" s="21"/>
      <c r="D10" s="21"/>
      <c r="E10" s="21"/>
      <c r="F10" s="21"/>
      <c r="G10" s="21"/>
      <c r="H10" s="21"/>
      <c r="I10" s="376"/>
      <c r="J10" s="21"/>
      <c r="K10" s="21"/>
      <c r="L10" s="321"/>
      <c r="M10" s="321"/>
    </row>
    <row r="11" spans="1:13" s="322" customFormat="1" ht="15">
      <c r="A11" s="368" t="s">
        <v>592</v>
      </c>
      <c r="C11" s="21"/>
      <c r="D11" s="21"/>
      <c r="E11" s="21"/>
      <c r="F11" s="21"/>
      <c r="G11" s="21"/>
      <c r="H11" s="21"/>
      <c r="I11" s="376"/>
      <c r="J11" s="21"/>
      <c r="K11" s="21"/>
      <c r="L11" s="321"/>
      <c r="M11" s="321"/>
    </row>
    <row r="12" spans="1:13" s="322" customFormat="1" ht="15">
      <c r="A12" s="367" t="s">
        <v>593</v>
      </c>
      <c r="C12" s="21"/>
      <c r="D12" s="21"/>
      <c r="E12" s="21"/>
      <c r="F12" s="21"/>
      <c r="G12" s="21"/>
      <c r="H12" s="21"/>
      <c r="I12" s="376"/>
      <c r="J12" s="21"/>
      <c r="K12" s="21"/>
      <c r="L12" s="321"/>
      <c r="M12" s="321"/>
    </row>
    <row r="13" spans="1:13" s="322" customFormat="1" ht="15">
      <c r="A13" s="367" t="s">
        <v>594</v>
      </c>
      <c r="C13" s="21"/>
      <c r="D13" s="21"/>
      <c r="E13" s="21"/>
      <c r="F13" s="21"/>
      <c r="G13" s="21"/>
      <c r="H13" s="21"/>
      <c r="I13" s="376"/>
      <c r="J13" s="21"/>
      <c r="K13" s="21"/>
      <c r="L13" s="321"/>
      <c r="M13" s="321"/>
    </row>
    <row r="14" spans="1:13" s="322" customFormat="1" ht="15">
      <c r="A14" s="367" t="s">
        <v>595</v>
      </c>
      <c r="C14" s="21"/>
      <c r="D14" s="21"/>
      <c r="E14" s="21"/>
      <c r="F14" s="21"/>
      <c r="G14" s="21"/>
      <c r="H14" s="21"/>
      <c r="I14" s="376"/>
      <c r="J14" s="21"/>
      <c r="K14" s="21"/>
      <c r="L14" s="321"/>
      <c r="M14" s="321"/>
    </row>
    <row r="15" spans="1:13" s="322" customFormat="1" ht="15">
      <c r="A15" s="367" t="s">
        <v>596</v>
      </c>
      <c r="C15" s="21"/>
      <c r="D15" s="21"/>
      <c r="E15" s="21"/>
      <c r="F15" s="21"/>
      <c r="G15" s="21"/>
      <c r="H15" s="21"/>
      <c r="I15" s="376"/>
      <c r="J15" s="21"/>
      <c r="K15" s="21"/>
      <c r="L15" s="321"/>
      <c r="M15" s="321"/>
    </row>
    <row r="16" spans="1:13" s="322" customFormat="1" ht="15">
      <c r="A16" s="367" t="s">
        <v>597</v>
      </c>
      <c r="C16" s="21"/>
      <c r="D16" s="21"/>
      <c r="E16" s="21"/>
      <c r="F16" s="21"/>
      <c r="G16" s="21"/>
      <c r="H16" s="21"/>
      <c r="I16" s="376"/>
      <c r="J16" s="21"/>
      <c r="K16" s="21"/>
      <c r="L16" s="321"/>
      <c r="M16" s="321"/>
    </row>
    <row r="17" spans="1:13" s="322" customFormat="1" ht="15">
      <c r="A17" s="367" t="s">
        <v>598</v>
      </c>
      <c r="C17" s="21"/>
      <c r="D17" s="21"/>
      <c r="E17" s="21"/>
      <c r="F17" s="21"/>
      <c r="G17" s="21"/>
      <c r="H17" s="21"/>
      <c r="I17" s="376"/>
      <c r="J17" s="21"/>
      <c r="K17" s="21"/>
      <c r="L17" s="321"/>
      <c r="M17" s="321"/>
    </row>
    <row r="18" spans="1:13" s="322" customFormat="1" ht="15">
      <c r="A18" s="367" t="s">
        <v>599</v>
      </c>
      <c r="C18" s="21"/>
      <c r="D18" s="21"/>
      <c r="E18" s="21"/>
      <c r="F18" s="21"/>
      <c r="G18" s="21"/>
      <c r="H18" s="21"/>
      <c r="I18" s="376"/>
      <c r="J18" s="21"/>
      <c r="K18" s="21"/>
      <c r="L18" s="321"/>
      <c r="M18" s="321"/>
    </row>
    <row r="19" spans="1:13" s="322" customFormat="1" ht="15">
      <c r="A19" s="368" t="s">
        <v>946</v>
      </c>
      <c r="C19" s="838" t="s">
        <v>728</v>
      </c>
      <c r="D19" s="838" t="s">
        <v>727</v>
      </c>
      <c r="E19" s="838" t="s">
        <v>1317</v>
      </c>
      <c r="F19" s="838" t="s">
        <v>1318</v>
      </c>
      <c r="G19" s="838" t="s">
        <v>372</v>
      </c>
      <c r="H19" s="321"/>
      <c r="I19" s="376"/>
      <c r="J19" s="321"/>
      <c r="K19" s="321"/>
      <c r="L19" s="321"/>
      <c r="M19" s="321"/>
    </row>
    <row r="20" spans="1:13" s="322" customFormat="1" ht="15">
      <c r="A20" s="367" t="s">
        <v>601</v>
      </c>
      <c r="C20" s="836">
        <f>'Price-BV'!B16</f>
        <v>-64.164000000000001</v>
      </c>
      <c r="D20" s="836">
        <f>'Price-BV'!C16</f>
        <v>-1.2088500000000004</v>
      </c>
      <c r="E20" s="836">
        <f>'Price-BV'!D16</f>
        <v>413.74900000000002</v>
      </c>
      <c r="F20" s="836">
        <f>'Price-BV'!E16</f>
        <v>563.77700000000004</v>
      </c>
      <c r="G20" s="836">
        <f>'Price-BV'!F16</f>
        <v>1080.4359999999999</v>
      </c>
      <c r="H20" s="321"/>
      <c r="I20" s="376"/>
      <c r="J20" s="321"/>
      <c r="K20" s="321"/>
      <c r="L20" s="321"/>
      <c r="M20" s="321"/>
    </row>
    <row r="21" spans="1:13" s="322" customFormat="1" ht="18" customHeight="1">
      <c r="A21" s="367" t="s">
        <v>602</v>
      </c>
      <c r="C21" s="836">
        <f>-'Cash Flow Statement'!B48/'Price-BV'!B7</f>
        <v>245.06899999999999</v>
      </c>
      <c r="D21" s="836">
        <f>-'Cash Flow Statement'!C48/'Price-BV'!C7</f>
        <v>0.35199999999999998</v>
      </c>
      <c r="E21" s="836">
        <f>-'Cash Flow Statement'!D48/'Price-BV'!D7</f>
        <v>147.24799999999999</v>
      </c>
      <c r="F21" s="836">
        <f>-'Cash Flow Statement'!E48/'Price-BV'!E7</f>
        <v>133.99299999999999</v>
      </c>
      <c r="G21" s="836">
        <f>-'Cash Flow Statement'!F48/'Price-BV'!F7</f>
        <v>188.55799999999999</v>
      </c>
      <c r="H21" s="321"/>
      <c r="I21" s="376"/>
      <c r="J21" s="321"/>
      <c r="K21" s="321"/>
      <c r="L21" s="321"/>
      <c r="M21" s="321"/>
    </row>
    <row r="22" spans="1:13" s="322" customFormat="1" ht="18" customHeight="1">
      <c r="A22" s="367" t="s">
        <v>603</v>
      </c>
      <c r="C22" s="836">
        <f>-'Cash Flow Statement'!B46/'Price-BV'!B7</f>
        <v>24.5</v>
      </c>
      <c r="D22" s="836">
        <f>-'Cash Flow Statement'!C46/'Price-BV'!C7</f>
        <v>49</v>
      </c>
      <c r="E22" s="836">
        <f>-'Cash Flow Statement'!D46/'Price-BV'!D7</f>
        <v>78</v>
      </c>
      <c r="F22" s="836">
        <f>-'Cash Flow Statement'!E46/'Price-BV'!E7</f>
        <v>104.8</v>
      </c>
      <c r="G22" s="836">
        <f>-'Cash Flow Statement'!F46/'Price-BV'!F7</f>
        <v>142</v>
      </c>
      <c r="H22" s="321"/>
      <c r="I22" s="376"/>
      <c r="J22" s="321"/>
      <c r="K22" s="321"/>
      <c r="L22" s="321"/>
      <c r="M22" s="321"/>
    </row>
    <row r="23" spans="1:13" s="322" customFormat="1" ht="18" customHeight="1">
      <c r="A23" s="367" t="s">
        <v>604</v>
      </c>
      <c r="C23" s="836">
        <f>'Cash Flow Statement'!B41/'Price-BV'!B7</f>
        <v>-56.994999999999997</v>
      </c>
      <c r="D23" s="836">
        <f>'Cash Flow Statement'!C41/'Price-BV'!C7</f>
        <v>34.54</v>
      </c>
      <c r="E23" s="836">
        <f>'Cash Flow Statement'!D41/'Price-BV'!D7</f>
        <v>69.346999999999994</v>
      </c>
      <c r="F23" s="836">
        <f>'Cash Flow Statement'!E41/'Price-BV'!E7</f>
        <v>-9.52</v>
      </c>
      <c r="G23" s="836">
        <f>'Cash Flow Statement'!F41/'Price-BV'!F7</f>
        <v>47.777000000000001</v>
      </c>
      <c r="H23" s="321"/>
      <c r="I23" s="376"/>
      <c r="J23" s="321"/>
      <c r="K23" s="321"/>
      <c r="L23" s="321"/>
      <c r="M23" s="321"/>
    </row>
    <row r="24" spans="1:13" s="322" customFormat="1" ht="18" customHeight="1">
      <c r="A24" s="367" t="s">
        <v>605</v>
      </c>
      <c r="C24" s="837">
        <f>'Ratios '!C12</f>
        <v>0.72705743469403916</v>
      </c>
      <c r="D24" s="837">
        <f>'Ratios '!D12</f>
        <v>0.69674081174194524</v>
      </c>
      <c r="E24" s="837">
        <f>'Ratios '!E12</f>
        <v>0.297562999125637</v>
      </c>
      <c r="F24" s="837">
        <f>'Ratios '!F12</f>
        <v>0.15064192622081463</v>
      </c>
      <c r="G24" s="837">
        <f>'Ratios '!G12</f>
        <v>0.10007602277605486</v>
      </c>
      <c r="H24" s="21"/>
      <c r="I24" s="376"/>
      <c r="J24" s="21"/>
      <c r="K24" s="21"/>
      <c r="L24" s="21"/>
      <c r="M24" s="21"/>
    </row>
    <row r="25" spans="1:13" s="322" customFormat="1" ht="24" customHeight="1">
      <c r="A25" s="369" t="s">
        <v>606</v>
      </c>
      <c r="B25" s="326" t="s">
        <v>607</v>
      </c>
      <c r="C25" s="134"/>
      <c r="D25" s="321"/>
      <c r="G25" s="321"/>
      <c r="H25" s="321"/>
      <c r="I25" s="1396" t="s">
        <v>954</v>
      </c>
      <c r="J25" s="321"/>
      <c r="K25" s="321"/>
      <c r="L25" s="321"/>
      <c r="M25" s="321"/>
    </row>
    <row r="26" spans="1:13" s="322" customFormat="1" ht="15">
      <c r="A26" s="369" t="s">
        <v>945</v>
      </c>
      <c r="C26" s="327">
        <f>(C21-C22+C23)*(1-C24)/C20</f>
        <v>-0.69581552237013333</v>
      </c>
      <c r="D26" s="327">
        <f>(D21-D22+D23)*(1-D24)/D20</f>
        <v>3.5392154758196934</v>
      </c>
      <c r="E26" s="327">
        <f>(E21-E22+E23)*(1-E24)/E20</f>
        <v>0.23529786449316448</v>
      </c>
      <c r="F26" s="327">
        <f>(F21-F22+F23)*(1-F24)/F20</f>
        <v>2.9638352372405953E-2</v>
      </c>
      <c r="G26" s="327">
        <f>(G21-G22+G23)*(1-G24)/G20</f>
        <v>7.8574138950776223E-2</v>
      </c>
      <c r="H26" s="321"/>
      <c r="I26" s="1396"/>
      <c r="K26" s="321"/>
      <c r="L26" s="321"/>
      <c r="M26" s="321"/>
    </row>
    <row r="27" spans="1:13" s="322" customFormat="1" ht="25.5">
      <c r="A27" s="369" t="s">
        <v>608</v>
      </c>
      <c r="B27" s="326" t="s">
        <v>609</v>
      </c>
      <c r="C27" s="134"/>
      <c r="D27" s="321"/>
      <c r="G27" s="321"/>
      <c r="H27" s="321"/>
      <c r="I27" s="1396"/>
      <c r="J27" s="321"/>
      <c r="K27" s="321"/>
      <c r="L27" s="321"/>
      <c r="M27" s="321"/>
    </row>
    <row r="28" spans="1:13" s="322" customFormat="1" ht="25.5">
      <c r="A28" s="369" t="s">
        <v>948</v>
      </c>
      <c r="B28" s="328">
        <f>'Other input data'!C21</f>
        <v>0.12</v>
      </c>
      <c r="C28" s="134"/>
      <c r="D28" s="321"/>
      <c r="G28" s="321"/>
      <c r="H28" s="321"/>
      <c r="I28" s="1396"/>
      <c r="J28" s="321"/>
      <c r="K28" s="321"/>
      <c r="L28" s="321"/>
      <c r="M28" s="321"/>
    </row>
    <row r="29" spans="1:13" s="322" customFormat="1" ht="15">
      <c r="A29" s="367"/>
      <c r="B29" s="321"/>
      <c r="C29" s="321"/>
      <c r="D29" s="321"/>
      <c r="E29" s="321"/>
      <c r="F29" s="321"/>
      <c r="G29" s="321"/>
      <c r="H29" s="321"/>
      <c r="I29" s="376"/>
      <c r="J29" s="321"/>
      <c r="K29" s="321"/>
      <c r="L29" s="321"/>
      <c r="M29" s="321"/>
    </row>
    <row r="30" spans="1:13" s="322" customFormat="1" ht="15">
      <c r="A30" s="367" t="s">
        <v>610</v>
      </c>
      <c r="B30" s="326" t="s">
        <v>607</v>
      </c>
      <c r="E30" s="321"/>
      <c r="F30" s="321"/>
      <c r="G30" s="321"/>
      <c r="H30" s="321"/>
      <c r="I30" s="376"/>
      <c r="J30" s="321"/>
      <c r="K30" s="321"/>
      <c r="L30" s="321"/>
      <c r="M30" s="321"/>
    </row>
    <row r="31" spans="1:13" s="322" customFormat="1" ht="15">
      <c r="A31" s="367" t="s">
        <v>949</v>
      </c>
      <c r="B31" s="328">
        <f>'Other input data'!C21</f>
        <v>0.12</v>
      </c>
      <c r="C31" s="134"/>
      <c r="D31" s="134"/>
      <c r="E31" s="321"/>
      <c r="F31" s="321"/>
      <c r="G31" s="321"/>
      <c r="H31" s="321"/>
      <c r="I31" s="376"/>
      <c r="J31" s="321"/>
      <c r="K31" s="321"/>
      <c r="L31" s="321"/>
      <c r="M31" s="321"/>
    </row>
    <row r="32" spans="1:13" s="322" customFormat="1" ht="15">
      <c r="A32" s="370" t="s">
        <v>950</v>
      </c>
      <c r="B32" s="329"/>
      <c r="C32" s="321"/>
      <c r="D32" s="134"/>
      <c r="E32" s="321"/>
      <c r="F32" s="321"/>
      <c r="G32" s="321"/>
      <c r="H32" s="321"/>
      <c r="I32" s="376"/>
      <c r="J32" s="321"/>
      <c r="K32" s="321"/>
      <c r="L32" s="321"/>
      <c r="M32" s="321"/>
    </row>
    <row r="33" spans="1:13" s="322" customFormat="1" ht="15">
      <c r="A33" s="367" t="s">
        <v>612</v>
      </c>
      <c r="B33" s="326">
        <f>'Other input data'!B23</f>
        <v>1.1000000000000001</v>
      </c>
      <c r="C33" s="321"/>
      <c r="D33" s="321"/>
      <c r="E33" s="321"/>
      <c r="F33" s="321"/>
      <c r="G33" s="321"/>
      <c r="H33" s="321"/>
      <c r="I33" s="376"/>
      <c r="J33" s="321"/>
      <c r="K33" s="321"/>
      <c r="L33" s="321"/>
      <c r="M33" s="321"/>
    </row>
    <row r="34" spans="1:13" s="322" customFormat="1" ht="15">
      <c r="A34" s="367" t="s">
        <v>613</v>
      </c>
      <c r="B34" s="379">
        <f>'Other input data'!B24</f>
        <v>7.0000000000000007E-2</v>
      </c>
      <c r="C34" s="134"/>
      <c r="D34" s="321"/>
      <c r="E34" s="321"/>
      <c r="F34" s="321"/>
      <c r="G34" s="321"/>
      <c r="H34" s="321"/>
      <c r="I34" s="376"/>
      <c r="J34" s="321"/>
      <c r="K34" s="321"/>
      <c r="L34" s="321"/>
      <c r="M34" s="321"/>
    </row>
    <row r="35" spans="1:13" s="322" customFormat="1" ht="15">
      <c r="A35" s="367" t="s">
        <v>614</v>
      </c>
      <c r="B35" s="379">
        <f>'Other input data'!B25</f>
        <v>5.5E-2</v>
      </c>
      <c r="C35" s="134"/>
      <c r="D35" s="321"/>
      <c r="E35" s="321"/>
      <c r="F35" s="321"/>
      <c r="G35" s="321"/>
      <c r="H35" s="321"/>
      <c r="I35" s="376"/>
      <c r="J35" s="321"/>
      <c r="K35" s="321"/>
      <c r="L35" s="321"/>
      <c r="M35" s="321"/>
    </row>
    <row r="36" spans="1:13" s="322" customFormat="1" ht="15" customHeight="1">
      <c r="A36" s="367" t="s">
        <v>615</v>
      </c>
      <c r="B36" s="379">
        <f>'Other input data'!B26</f>
        <v>0.06</v>
      </c>
      <c r="C36" s="134"/>
      <c r="D36" s="321"/>
      <c r="E36" s="321"/>
      <c r="F36" s="321"/>
      <c r="G36" s="321"/>
      <c r="H36" s="321"/>
      <c r="I36" s="1396" t="s">
        <v>1034</v>
      </c>
      <c r="J36" s="321"/>
      <c r="K36" s="321"/>
      <c r="L36" s="321"/>
      <c r="M36" s="321"/>
    </row>
    <row r="37" spans="1:13" s="322" customFormat="1" ht="15">
      <c r="A37" s="367"/>
      <c r="B37" s="321"/>
      <c r="C37" s="134"/>
      <c r="D37" s="321"/>
      <c r="E37" s="321"/>
      <c r="F37" s="321"/>
      <c r="G37" s="321"/>
      <c r="H37" s="321"/>
      <c r="I37" s="1396"/>
      <c r="J37" s="321"/>
      <c r="K37" s="321"/>
      <c r="L37" s="321"/>
      <c r="M37" s="321"/>
    </row>
    <row r="38" spans="1:13" s="59" customFormat="1" ht="15">
      <c r="A38" s="368" t="s">
        <v>616</v>
      </c>
      <c r="B38" s="21"/>
      <c r="C38" s="21"/>
      <c r="D38" s="21"/>
      <c r="E38" s="21"/>
      <c r="F38" s="21"/>
      <c r="G38" s="21"/>
      <c r="H38" s="21"/>
      <c r="I38" s="1396"/>
      <c r="J38" s="21"/>
      <c r="K38" s="21"/>
      <c r="L38" s="21"/>
      <c r="M38" s="21"/>
    </row>
    <row r="39" spans="1:13" s="59" customFormat="1" ht="15">
      <c r="A39" s="370" t="s">
        <v>617</v>
      </c>
      <c r="B39" s="21"/>
      <c r="C39" s="21"/>
      <c r="D39" s="21"/>
      <c r="E39" s="21"/>
      <c r="F39" s="21"/>
      <c r="G39" s="21"/>
      <c r="H39" s="21"/>
      <c r="I39" s="1396"/>
      <c r="J39" s="21"/>
      <c r="K39" s="21"/>
      <c r="L39" s="21"/>
      <c r="M39" s="21"/>
    </row>
    <row r="40" spans="1:13" s="59" customFormat="1" ht="15">
      <c r="A40" s="367" t="s">
        <v>601</v>
      </c>
      <c r="B40" s="330"/>
      <c r="C40" s="839">
        <f>C20</f>
        <v>-64.164000000000001</v>
      </c>
      <c r="D40" s="839">
        <f>D20</f>
        <v>-1.2088500000000004</v>
      </c>
      <c r="E40" s="839">
        <f>E20</f>
        <v>413.74900000000002</v>
      </c>
      <c r="F40" s="839">
        <f>F20</f>
        <v>563.77700000000004</v>
      </c>
      <c r="G40" s="839">
        <f>G20</f>
        <v>1080.4359999999999</v>
      </c>
      <c r="H40" s="21"/>
      <c r="I40" s="376"/>
      <c r="J40" s="21"/>
      <c r="K40" s="21"/>
      <c r="L40" s="21"/>
      <c r="M40" s="21"/>
    </row>
    <row r="41" spans="1:13" s="59" customFormat="1" ht="15">
      <c r="A41" s="367" t="s">
        <v>618</v>
      </c>
      <c r="B41" s="332"/>
      <c r="C41" s="840">
        <f>(1-C24)</f>
        <v>0.27294256530596084</v>
      </c>
      <c r="D41" s="840">
        <f>(1-D24)</f>
        <v>0.30325918825805476</v>
      </c>
      <c r="E41" s="840">
        <f>(1-E24)</f>
        <v>0.702437000874363</v>
      </c>
      <c r="F41" s="840">
        <f>(1-F24)</f>
        <v>0.84935807377918537</v>
      </c>
      <c r="G41" s="840">
        <f>(1-G24)</f>
        <v>0.89992397722394513</v>
      </c>
      <c r="H41" s="21"/>
      <c r="I41" s="376"/>
      <c r="J41" s="21"/>
      <c r="K41" s="21"/>
      <c r="L41" s="21"/>
      <c r="M41" s="21"/>
    </row>
    <row r="42" spans="1:13" s="59" customFormat="1" ht="15">
      <c r="A42" s="367" t="s">
        <v>1558</v>
      </c>
      <c r="B42" s="330"/>
      <c r="C42" s="839">
        <f>IF($B$25="Yes",0,IF($B$27="Yes",(($B$36/$B$28)*C20-C46)/C41,C21-C22))</f>
        <v>-60.546212247481414</v>
      </c>
      <c r="D42" s="839">
        <f>IF($B$25="Yes",0,IF($B$27="Yes",(($B$36/$B$28)*D20-D46)/D41,D21-D22))</f>
        <v>-36.533097071425487</v>
      </c>
      <c r="E42" s="839">
        <f>IF($B$25="Yes",0,IF($B$27="Yes",(($B$36/$B$28)*E20-E46)/E41,E21-E22))</f>
        <v>225.1626851995149</v>
      </c>
      <c r="F42" s="839">
        <f>IF($B$25="Yes",0,IF($B$27="Yes",(($B$36/$B$28)*F20-F46)/F41,F21-F22))</f>
        <v>341.40417076645684</v>
      </c>
      <c r="G42" s="839">
        <f>IF($B$25="Yes",0,IF($B$27="Yes",(($B$36/$B$28)*G20-G46)/G41,G21-G22))</f>
        <v>552.51592881654972</v>
      </c>
      <c r="H42" s="21"/>
      <c r="I42" s="376"/>
      <c r="J42" s="21"/>
      <c r="K42" s="21"/>
      <c r="L42" s="21"/>
      <c r="M42" s="21"/>
    </row>
    <row r="43" spans="1:13" s="59" customFormat="1" ht="15">
      <c r="A43" s="371" t="s">
        <v>1559</v>
      </c>
      <c r="B43" s="330"/>
      <c r="C43" s="839">
        <f>C41*C42</f>
        <v>-16.525638490386761</v>
      </c>
      <c r="D43" s="839">
        <f>D41*D42</f>
        <v>-11.078997362433212</v>
      </c>
      <c r="E43" s="839">
        <f>E41*E42</f>
        <v>158.16260130036557</v>
      </c>
      <c r="F43" s="839">
        <f>F41*F42</f>
        <v>289.97438886237785</v>
      </c>
      <c r="G43" s="839">
        <f>G41*G42</f>
        <v>497.2223321401716</v>
      </c>
      <c r="H43" s="21"/>
      <c r="I43" s="376"/>
      <c r="J43" s="21"/>
      <c r="K43" s="21"/>
      <c r="L43" s="21"/>
      <c r="M43" s="21"/>
    </row>
    <row r="44" spans="1:13" s="59" customFormat="1" ht="15">
      <c r="A44" s="367" t="s">
        <v>619</v>
      </c>
      <c r="B44" s="330"/>
      <c r="C44" s="840">
        <f>(1-C24)</f>
        <v>0.27294256530596084</v>
      </c>
      <c r="D44" s="840">
        <f>(1-D24)</f>
        <v>0.30325918825805476</v>
      </c>
      <c r="E44" s="840">
        <f>(1-E24)</f>
        <v>0.702437000874363</v>
      </c>
      <c r="F44" s="840">
        <f>(1-F24)</f>
        <v>0.84935807377918537</v>
      </c>
      <c r="G44" s="840">
        <f>(1-G24)</f>
        <v>0.89992397722394513</v>
      </c>
      <c r="H44" s="21"/>
      <c r="I44" s="376"/>
      <c r="J44" s="21"/>
      <c r="K44" s="21"/>
      <c r="L44" s="21"/>
      <c r="M44" s="21"/>
    </row>
    <row r="45" spans="1:13" s="59" customFormat="1" ht="15">
      <c r="A45" s="367" t="s">
        <v>604</v>
      </c>
      <c r="B45" s="330"/>
      <c r="C45" s="839">
        <f>C23</f>
        <v>-56.994999999999997</v>
      </c>
      <c r="D45" s="839">
        <f>D23</f>
        <v>34.54</v>
      </c>
      <c r="E45" s="839">
        <f>E23</f>
        <v>69.346999999999994</v>
      </c>
      <c r="F45" s="839">
        <f>F23</f>
        <v>-9.52</v>
      </c>
      <c r="G45" s="839">
        <f>G23</f>
        <v>47.777000000000001</v>
      </c>
      <c r="H45" s="21"/>
      <c r="I45" s="376"/>
      <c r="J45" s="21"/>
      <c r="K45" s="21"/>
      <c r="L45" s="21"/>
      <c r="M45" s="21"/>
    </row>
    <row r="46" spans="1:13" s="59" customFormat="1" ht="15" customHeight="1">
      <c r="A46" s="367" t="s">
        <v>1035</v>
      </c>
      <c r="B46" s="330"/>
      <c r="C46" s="839">
        <f>C44*C45</f>
        <v>-15.556361509613238</v>
      </c>
      <c r="D46" s="839">
        <f>D44*D45</f>
        <v>10.474572362433211</v>
      </c>
      <c r="E46" s="839">
        <f>E44*E45</f>
        <v>48.711898699634446</v>
      </c>
      <c r="F46" s="839">
        <f>F44*F45</f>
        <v>-8.0858888623778444</v>
      </c>
      <c r="G46" s="839">
        <f>G44*G45</f>
        <v>42.99566785982843</v>
      </c>
      <c r="H46" s="21"/>
      <c r="I46" s="1396" t="s">
        <v>1054</v>
      </c>
      <c r="J46" s="21"/>
      <c r="K46" s="21"/>
      <c r="L46" s="21"/>
      <c r="M46" s="21"/>
    </row>
    <row r="47" spans="1:13" s="59" customFormat="1" ht="15" customHeight="1">
      <c r="A47" s="367" t="s">
        <v>620</v>
      </c>
      <c r="B47" s="303"/>
      <c r="C47" s="839">
        <f>C40-C43-C46</f>
        <v>-32.082000000000001</v>
      </c>
      <c r="D47" s="839">
        <f>D40-D43-D46</f>
        <v>-0.6044249999999991</v>
      </c>
      <c r="E47" s="839">
        <f>E40-E43-E46</f>
        <v>206.87450000000001</v>
      </c>
      <c r="F47" s="839">
        <f>F40-F43-F46</f>
        <v>281.88850000000002</v>
      </c>
      <c r="G47" s="839">
        <f>G40-G43-G46</f>
        <v>540.21799999999985</v>
      </c>
      <c r="H47" s="21"/>
      <c r="I47" s="1396"/>
      <c r="J47" s="21"/>
      <c r="K47" s="21"/>
      <c r="L47" s="21"/>
      <c r="M47" s="21"/>
    </row>
    <row r="48" spans="1:13" s="59" customFormat="1" ht="15">
      <c r="A48" s="367"/>
      <c r="B48" s="303"/>
      <c r="C48" s="21"/>
      <c r="D48" s="331"/>
      <c r="E48" s="21"/>
      <c r="F48" s="303"/>
      <c r="G48" s="21"/>
      <c r="H48" s="21"/>
      <c r="I48" s="1396"/>
      <c r="J48" s="21"/>
      <c r="K48" s="21"/>
      <c r="L48" s="21"/>
      <c r="M48" s="21"/>
    </row>
    <row r="49" spans="1:13" s="59" customFormat="1" ht="15">
      <c r="A49" s="367" t="s">
        <v>621</v>
      </c>
      <c r="B49" s="841">
        <f>IF(B30="Yes",B31,B34+B33*B35)</f>
        <v>0.1305</v>
      </c>
      <c r="C49" s="21"/>
      <c r="D49" s="21"/>
      <c r="E49" s="21"/>
      <c r="F49" s="21"/>
      <c r="G49" s="21"/>
      <c r="H49" s="21"/>
      <c r="J49" s="21"/>
      <c r="K49" s="21"/>
      <c r="L49" s="21"/>
      <c r="M49" s="21"/>
    </row>
    <row r="50" spans="1:13" s="59" customFormat="1" ht="15">
      <c r="A50" s="367" t="s">
        <v>622</v>
      </c>
      <c r="B50" s="841">
        <f>B36</f>
        <v>0.06</v>
      </c>
      <c r="C50" s="21" t="str">
        <f>IF(B50&gt;0.1,"This is high for an infinite growth rate. Check it"," ")</f>
        <v xml:space="preserve"> </v>
      </c>
      <c r="D50" s="21"/>
      <c r="E50" s="21"/>
      <c r="F50" s="21"/>
      <c r="G50" s="21"/>
      <c r="H50" s="21"/>
      <c r="I50" s="376"/>
      <c r="J50" s="21"/>
      <c r="K50" s="21"/>
      <c r="L50" s="21"/>
      <c r="M50" s="21"/>
    </row>
    <row r="52" spans="1:13">
      <c r="A52" s="372" t="s">
        <v>623</v>
      </c>
      <c r="B52" s="333"/>
      <c r="C52" s="412">
        <f>C47*(1+$B$50)/($B$49-$B$50)</f>
        <v>-482.36765957446806</v>
      </c>
      <c r="D52" s="412">
        <f>D47*(1+$B$50)/($B$49-$B$50)</f>
        <v>-9.0878085106382827</v>
      </c>
      <c r="E52" s="412">
        <f>E47*(1+$B$50)/($B$49-$B$50)</f>
        <v>3110.4534751773049</v>
      </c>
      <c r="F52" s="412">
        <f>F47*(1+$B$50)/($B$49-$B$50)</f>
        <v>4238.323546099291</v>
      </c>
      <c r="G52" s="413">
        <f>G47*(1+$B$50)/($B$49-$B$50)</f>
        <v>8122.4266666666645</v>
      </c>
    </row>
    <row r="53" spans="1:13">
      <c r="C53" s="414"/>
      <c r="D53" s="414"/>
      <c r="E53" s="414"/>
      <c r="F53" s="414"/>
      <c r="G53" s="414"/>
    </row>
    <row r="54" spans="1:13" s="123" customFormat="1">
      <c r="A54" s="370"/>
      <c r="D54" s="415"/>
      <c r="E54" s="415"/>
      <c r="F54" s="415"/>
      <c r="G54" s="415"/>
      <c r="I54" s="377"/>
    </row>
    <row r="55" spans="1:13" s="123" customFormat="1">
      <c r="A55" s="380" t="s">
        <v>624</v>
      </c>
      <c r="B55" s="845" t="s">
        <v>625</v>
      </c>
      <c r="C55" s="416"/>
      <c r="D55" s="416"/>
      <c r="E55" s="416"/>
      <c r="F55" s="416"/>
      <c r="G55" s="417"/>
      <c r="I55" s="377"/>
    </row>
    <row r="56" spans="1:13" ht="12.75" customHeight="1">
      <c r="A56" s="844">
        <f>B50+4%</f>
        <v>0.1</v>
      </c>
      <c r="B56" s="846"/>
      <c r="C56" s="842">
        <f t="shared" ref="C56:G64" si="0">C$47*(1+$A56)/($B$49-$A56)</f>
        <v>-1157.0557377049183</v>
      </c>
      <c r="D56" s="842">
        <f t="shared" si="0"/>
        <v>-21.798934426229479</v>
      </c>
      <c r="E56" s="842">
        <f t="shared" si="0"/>
        <v>7461.0475409836072</v>
      </c>
      <c r="F56" s="843">
        <f t="shared" si="0"/>
        <v>10166.47049180328</v>
      </c>
      <c r="G56" s="842">
        <f t="shared" si="0"/>
        <v>19483.272131147536</v>
      </c>
      <c r="I56" s="1396" t="s">
        <v>1055</v>
      </c>
    </row>
    <row r="57" spans="1:13">
      <c r="A57" s="844">
        <f>B50+3%</f>
        <v>0.09</v>
      </c>
      <c r="B57" s="846"/>
      <c r="C57" s="842">
        <f t="shared" si="0"/>
        <v>-863.44148148148133</v>
      </c>
      <c r="D57" s="842">
        <f t="shared" si="0"/>
        <v>-16.267240740740714</v>
      </c>
      <c r="E57" s="842">
        <f t="shared" si="0"/>
        <v>5567.7334567901225</v>
      </c>
      <c r="F57" s="842">
        <f t="shared" si="0"/>
        <v>7586.6287654320986</v>
      </c>
      <c r="G57" s="842">
        <f t="shared" si="0"/>
        <v>14539.200493827155</v>
      </c>
      <c r="I57" s="1396"/>
    </row>
    <row r="58" spans="1:13">
      <c r="A58" s="844">
        <f>B50+2%</f>
        <v>0.08</v>
      </c>
      <c r="B58" s="846"/>
      <c r="C58" s="842">
        <f t="shared" si="0"/>
        <v>-686.11009900990098</v>
      </c>
      <c r="D58" s="842">
        <f t="shared" si="0"/>
        <v>-12.926316831683151</v>
      </c>
      <c r="E58" s="842">
        <f t="shared" si="0"/>
        <v>4424.2467326732676</v>
      </c>
      <c r="F58" s="842">
        <f t="shared" si="0"/>
        <v>6028.5065346534657</v>
      </c>
      <c r="G58" s="842">
        <f t="shared" si="0"/>
        <v>11553.177029702967</v>
      </c>
      <c r="I58" s="1396"/>
    </row>
    <row r="59" spans="1:13">
      <c r="A59" s="844">
        <f>B50+1%</f>
        <v>6.9999999999999993E-2</v>
      </c>
      <c r="B59" s="846"/>
      <c r="C59" s="842">
        <f t="shared" si="0"/>
        <v>-567.40066115702473</v>
      </c>
      <c r="D59" s="842">
        <f t="shared" si="0"/>
        <v>-10.689830578512378</v>
      </c>
      <c r="E59" s="842">
        <f t="shared" si="0"/>
        <v>3658.7721487603303</v>
      </c>
      <c r="F59" s="842">
        <f t="shared" si="0"/>
        <v>4985.4660330578517</v>
      </c>
      <c r="G59" s="842">
        <f t="shared" si="0"/>
        <v>9554.2687603305731</v>
      </c>
      <c r="I59" s="1396"/>
    </row>
    <row r="60" spans="1:13">
      <c r="A60" s="844">
        <f>B50</f>
        <v>0.06</v>
      </c>
      <c r="B60" s="846"/>
      <c r="C60" s="842">
        <f t="shared" si="0"/>
        <v>-482.36765957446806</v>
      </c>
      <c r="D60" s="842">
        <f t="shared" si="0"/>
        <v>-9.0878085106382827</v>
      </c>
      <c r="E60" s="842">
        <f t="shared" si="0"/>
        <v>3110.4534751773049</v>
      </c>
      <c r="F60" s="842">
        <f t="shared" si="0"/>
        <v>4238.323546099291</v>
      </c>
      <c r="G60" s="842">
        <f t="shared" si="0"/>
        <v>8122.4266666666645</v>
      </c>
      <c r="I60" s="1396"/>
    </row>
    <row r="61" spans="1:13">
      <c r="A61" s="844">
        <f>B50-1%</f>
        <v>4.9999999999999996E-2</v>
      </c>
      <c r="B61" s="846"/>
      <c r="C61" s="842">
        <f t="shared" si="0"/>
        <v>-418.46086956521737</v>
      </c>
      <c r="D61" s="842">
        <f t="shared" si="0"/>
        <v>-7.8838043478260742</v>
      </c>
      <c r="E61" s="842">
        <f t="shared" si="0"/>
        <v>2698.3630434782604</v>
      </c>
      <c r="F61" s="842">
        <f t="shared" si="0"/>
        <v>3676.8065217391299</v>
      </c>
      <c r="G61" s="842">
        <f t="shared" si="0"/>
        <v>7046.3217391304315</v>
      </c>
      <c r="I61" s="1396"/>
    </row>
    <row r="62" spans="1:13">
      <c r="A62" s="844">
        <f>B50-2%</f>
        <v>3.9999999999999994E-2</v>
      </c>
      <c r="B62" s="846"/>
      <c r="C62" s="842">
        <f t="shared" si="0"/>
        <v>-368.67712707182312</v>
      </c>
      <c r="D62" s="842">
        <f t="shared" si="0"/>
        <v>-6.945878453038663</v>
      </c>
      <c r="E62" s="842">
        <f t="shared" si="0"/>
        <v>2377.3423204419887</v>
      </c>
      <c r="F62" s="842">
        <f t="shared" si="0"/>
        <v>3239.381657458564</v>
      </c>
      <c r="G62" s="842">
        <f t="shared" si="0"/>
        <v>6208.0300552486169</v>
      </c>
    </row>
    <row r="63" spans="1:13">
      <c r="A63" s="844">
        <f>B50-3%</f>
        <v>0.03</v>
      </c>
      <c r="B63" s="846"/>
      <c r="C63" s="842">
        <f t="shared" si="0"/>
        <v>-328.80059701492536</v>
      </c>
      <c r="D63" s="842">
        <f t="shared" si="0"/>
        <v>-6.1946044776119313</v>
      </c>
      <c r="E63" s="842">
        <f t="shared" si="0"/>
        <v>2120.2063184079602</v>
      </c>
      <c r="F63" s="842">
        <f t="shared" si="0"/>
        <v>2889.0065174129354</v>
      </c>
      <c r="G63" s="842">
        <f t="shared" si="0"/>
        <v>5536.5625870646745</v>
      </c>
    </row>
    <row r="64" spans="1:13">
      <c r="A64" s="844">
        <f>B50-4%</f>
        <v>1.9999999999999997E-2</v>
      </c>
      <c r="B64" s="847"/>
      <c r="C64" s="842">
        <f t="shared" si="0"/>
        <v>-296.14153846153846</v>
      </c>
      <c r="D64" s="842">
        <f t="shared" si="0"/>
        <v>-5.5793076923076832</v>
      </c>
      <c r="E64" s="842">
        <f t="shared" si="0"/>
        <v>1909.6107692307692</v>
      </c>
      <c r="F64" s="842">
        <f t="shared" si="0"/>
        <v>2602.0476923076922</v>
      </c>
      <c r="G64" s="842">
        <f t="shared" si="0"/>
        <v>4986.6276923076903</v>
      </c>
    </row>
  </sheetData>
  <mergeCells count="6">
    <mergeCell ref="A1:B1"/>
    <mergeCell ref="I4:I7"/>
    <mergeCell ref="I46:I48"/>
    <mergeCell ref="I56:I61"/>
    <mergeCell ref="I25:I28"/>
    <mergeCell ref="I36:I39"/>
  </mergeCells>
  <phoneticPr fontId="139" type="noConversion"/>
  <dataValidations count="1">
    <dataValidation type="list" allowBlank="1" showInputMessage="1" showErrorMessage="1" sqref="B25 B30 B27" xr:uid="{00000000-0002-0000-2200-000000000000}">
      <formula1>YesNo</formula1>
    </dataValidation>
  </dataValidations>
  <pageMargins left="0.7" right="0.7" top="0.75" bottom="0.75" header="0.3" footer="0.3"/>
  <pageSetup paperSize="9" scale="52" orientation="portrait"/>
  <legacy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61"/>
  <sheetViews>
    <sheetView zoomScale="85" zoomScaleNormal="85" zoomScalePageLayoutView="85" workbookViewId="0">
      <selection activeCell="B27" sqref="B27"/>
    </sheetView>
  </sheetViews>
  <sheetFormatPr defaultColWidth="12.42578125" defaultRowHeight="12.75"/>
  <cols>
    <col min="1" max="1" width="41.140625" style="21" customWidth="1"/>
    <col min="2" max="2" width="8.7109375" style="21" customWidth="1"/>
    <col min="3" max="3" width="13.42578125" style="21" customWidth="1"/>
    <col min="4" max="7" width="13" style="21" customWidth="1"/>
    <col min="8" max="8" width="6.42578125" style="21" customWidth="1"/>
    <col min="9" max="9" width="42.42578125" style="376" customWidth="1"/>
    <col min="10" max="16384" width="12.42578125" style="21"/>
  </cols>
  <sheetData>
    <row r="1" spans="1:9" s="306" customFormat="1" ht="23.25">
      <c r="A1" s="1383" t="s">
        <v>626</v>
      </c>
      <c r="B1" s="1384"/>
      <c r="C1" s="307"/>
      <c r="D1" s="307"/>
      <c r="E1" s="307"/>
      <c r="F1" s="307"/>
      <c r="I1" s="375"/>
    </row>
    <row r="2" spans="1:9" s="306" customFormat="1" ht="14.25" customHeight="1" thickBot="1">
      <c r="A2" s="308"/>
      <c r="I2" s="375"/>
    </row>
    <row r="3" spans="1:9" s="306" customFormat="1" ht="22.5" customHeight="1">
      <c r="A3" s="309" t="s">
        <v>627</v>
      </c>
      <c r="B3" s="311"/>
      <c r="C3" s="310"/>
      <c r="D3" s="310"/>
      <c r="E3" s="310"/>
      <c r="F3" s="312"/>
      <c r="I3" s="375"/>
    </row>
    <row r="4" spans="1:9" s="306" customFormat="1" ht="20.25" customHeight="1">
      <c r="A4" s="313" t="s">
        <v>628</v>
      </c>
      <c r="B4" s="315"/>
      <c r="C4" s="314"/>
      <c r="D4" s="314"/>
      <c r="E4" s="314"/>
      <c r="F4" s="316"/>
      <c r="I4" s="375"/>
    </row>
    <row r="5" spans="1:9" s="306" customFormat="1" ht="14.25" customHeight="1" thickBot="1">
      <c r="A5" s="317"/>
      <c r="B5" s="319"/>
      <c r="C5" s="318"/>
      <c r="D5" s="318"/>
      <c r="E5" s="318"/>
      <c r="F5" s="320"/>
      <c r="I5" s="375"/>
    </row>
    <row r="6" spans="1:9" s="306" customFormat="1" ht="14.25" customHeight="1">
      <c r="B6" s="308"/>
      <c r="I6" s="375"/>
    </row>
    <row r="7" spans="1:9" ht="23.25">
      <c r="A7" s="51" t="s">
        <v>589</v>
      </c>
      <c r="B7" s="72"/>
      <c r="I7" s="375"/>
    </row>
    <row r="8" spans="1:9">
      <c r="A8" s="21" t="s">
        <v>590</v>
      </c>
      <c r="B8" s="72"/>
    </row>
    <row r="9" spans="1:9">
      <c r="A9" s="21" t="s">
        <v>629</v>
      </c>
      <c r="B9" s="72"/>
    </row>
    <row r="10" spans="1:9">
      <c r="B10" s="72"/>
    </row>
    <row r="11" spans="1:9">
      <c r="A11" s="51" t="s">
        <v>592</v>
      </c>
      <c r="B11" s="72"/>
    </row>
    <row r="12" spans="1:9" s="321" customFormat="1">
      <c r="A12" s="321" t="s">
        <v>593</v>
      </c>
    </row>
    <row r="13" spans="1:9" s="321" customFormat="1">
      <c r="A13" s="321" t="s">
        <v>630</v>
      </c>
    </row>
    <row r="14" spans="1:9" s="321" customFormat="1">
      <c r="A14" s="321" t="s">
        <v>631</v>
      </c>
    </row>
    <row r="15" spans="1:9" s="321" customFormat="1">
      <c r="A15" s="321" t="s">
        <v>632</v>
      </c>
    </row>
    <row r="16" spans="1:9" s="321" customFormat="1">
      <c r="A16" s="321" t="s">
        <v>633</v>
      </c>
    </row>
    <row r="17" spans="1:9" s="321" customFormat="1">
      <c r="A17" s="321" t="s">
        <v>634</v>
      </c>
    </row>
    <row r="18" spans="1:9" s="321" customFormat="1">
      <c r="A18" s="321" t="s">
        <v>635</v>
      </c>
    </row>
    <row r="19" spans="1:9" s="321" customFormat="1" ht="15">
      <c r="H19" s="334"/>
    </row>
    <row r="20" spans="1:9" s="321" customFormat="1" ht="15">
      <c r="A20" s="323" t="s">
        <v>600</v>
      </c>
      <c r="B20" s="334"/>
      <c r="C20" s="838" t="s">
        <v>728</v>
      </c>
      <c r="D20" s="838" t="s">
        <v>727</v>
      </c>
      <c r="E20" s="838" t="s">
        <v>1317</v>
      </c>
      <c r="F20" s="838" t="s">
        <v>1318</v>
      </c>
      <c r="G20" s="838" t="s">
        <v>372</v>
      </c>
    </row>
    <row r="21" spans="1:9" s="321" customFormat="1">
      <c r="A21" s="321" t="s">
        <v>636</v>
      </c>
      <c r="C21" s="836">
        <f>'Income Statement'!C31</f>
        <v>-53040</v>
      </c>
      <c r="D21" s="836">
        <f>'Income Statement'!D31</f>
        <v>9559</v>
      </c>
      <c r="E21" s="836">
        <f>'Income Statement'!E31</f>
        <v>460870</v>
      </c>
      <c r="F21" s="836">
        <f>'Income Statement'!F31</f>
        <v>631429</v>
      </c>
      <c r="G21" s="836">
        <f>'Income Statement'!G31</f>
        <v>1202234</v>
      </c>
    </row>
    <row r="22" spans="1:9" s="321" customFormat="1">
      <c r="A22" s="321" t="s">
        <v>637</v>
      </c>
      <c r="B22" s="335">
        <f>'Other input data'!B19</f>
        <v>0.35</v>
      </c>
      <c r="C22" s="836"/>
      <c r="D22" s="836"/>
      <c r="E22" s="836"/>
      <c r="F22" s="836"/>
      <c r="G22" s="836"/>
    </row>
    <row r="23" spans="1:9" s="321" customFormat="1">
      <c r="A23" s="321" t="s">
        <v>638</v>
      </c>
      <c r="C23" s="836">
        <f>-'Cash Flow Statement'!B48</f>
        <v>245069</v>
      </c>
      <c r="D23" s="836">
        <f>-'Cash Flow Statement'!C48</f>
        <v>352</v>
      </c>
      <c r="E23" s="836">
        <f>-'Cash Flow Statement'!D48</f>
        <v>147248</v>
      </c>
      <c r="F23" s="836">
        <f>-'Cash Flow Statement'!E48</f>
        <v>133993</v>
      </c>
      <c r="G23" s="836">
        <f>-'Cash Flow Statement'!F48</f>
        <v>188558</v>
      </c>
      <c r="I23" s="376"/>
    </row>
    <row r="24" spans="1:9" s="321" customFormat="1">
      <c r="A24" s="321" t="s">
        <v>639</v>
      </c>
      <c r="C24" s="836">
        <f>-'Cash Flow Statement'!B46</f>
        <v>24500</v>
      </c>
      <c r="D24" s="836">
        <f>-'Cash Flow Statement'!C46</f>
        <v>49000</v>
      </c>
      <c r="E24" s="836">
        <f>-'Cash Flow Statement'!D46</f>
        <v>78000</v>
      </c>
      <c r="F24" s="836">
        <f>-'Cash Flow Statement'!E46</f>
        <v>104800</v>
      </c>
      <c r="G24" s="836">
        <f>-'Cash Flow Statement'!F46</f>
        <v>142000</v>
      </c>
      <c r="I24" s="376"/>
    </row>
    <row r="25" spans="1:9" s="321" customFormat="1">
      <c r="A25" s="321" t="s">
        <v>640</v>
      </c>
      <c r="C25" s="836">
        <f>'Cash Flow Statement'!B41</f>
        <v>-56995</v>
      </c>
      <c r="D25" s="836">
        <f>'Cash Flow Statement'!C41</f>
        <v>34540</v>
      </c>
      <c r="E25" s="836">
        <f>'Cash Flow Statement'!D41</f>
        <v>69347</v>
      </c>
      <c r="F25" s="836">
        <f>'Cash Flow Statement'!E41</f>
        <v>-9520</v>
      </c>
      <c r="G25" s="836">
        <f>'Cash Flow Statement'!F41</f>
        <v>47777</v>
      </c>
      <c r="H25" s="324"/>
      <c r="I25" s="376"/>
    </row>
    <row r="26" spans="1:9" s="321" customFormat="1" ht="25.5">
      <c r="A26" s="362" t="s">
        <v>641</v>
      </c>
      <c r="B26" s="336" t="s">
        <v>609</v>
      </c>
      <c r="C26" s="400"/>
      <c r="D26" s="398"/>
      <c r="E26" s="398"/>
      <c r="F26" s="398"/>
      <c r="G26" s="399"/>
      <c r="I26" s="376"/>
    </row>
    <row r="27" spans="1:9" s="321" customFormat="1" ht="25.5">
      <c r="A27" s="362" t="s">
        <v>642</v>
      </c>
      <c r="B27" s="337">
        <v>1.25</v>
      </c>
      <c r="C27" s="396"/>
      <c r="D27" s="398"/>
      <c r="E27" s="397"/>
      <c r="F27" s="398"/>
      <c r="G27" s="399"/>
      <c r="I27" s="376"/>
    </row>
    <row r="28" spans="1:9" s="321" customFormat="1">
      <c r="A28" s="321" t="s">
        <v>643</v>
      </c>
      <c r="C28" s="849">
        <f>'Ratios '!C12</f>
        <v>0.72705743469403916</v>
      </c>
      <c r="D28" s="849">
        <f>'Ratios '!D12</f>
        <v>0.69674081174194524</v>
      </c>
      <c r="E28" s="849">
        <f>'Ratios '!E12</f>
        <v>0.297562999125637</v>
      </c>
      <c r="F28" s="849">
        <f>'Ratios '!F12</f>
        <v>0.15064192622081463</v>
      </c>
      <c r="G28" s="849">
        <f>'Ratios '!G12</f>
        <v>0.10007602277605486</v>
      </c>
      <c r="I28" s="376"/>
    </row>
    <row r="29" spans="1:9" s="321" customFormat="1" ht="25.5">
      <c r="A29" s="362" t="s">
        <v>610</v>
      </c>
      <c r="B29" s="326" t="s">
        <v>607</v>
      </c>
      <c r="I29" s="376"/>
    </row>
    <row r="30" spans="1:9" s="321" customFormat="1" ht="25.5">
      <c r="A30" s="369" t="s">
        <v>948</v>
      </c>
      <c r="B30" s="325">
        <f>'Other input data'!C21</f>
        <v>0.12</v>
      </c>
      <c r="C30" s="134"/>
      <c r="D30" s="134"/>
      <c r="I30" s="376"/>
    </row>
    <row r="31" spans="1:9" s="321" customFormat="1">
      <c r="A31" s="324" t="s">
        <v>611</v>
      </c>
      <c r="B31" s="329"/>
      <c r="D31" s="134"/>
      <c r="I31" s="376"/>
    </row>
    <row r="32" spans="1:9" s="321" customFormat="1">
      <c r="A32" s="321" t="s">
        <v>612</v>
      </c>
      <c r="B32" s="326">
        <f>NewFCFEStableGrowth!B33</f>
        <v>1.1000000000000001</v>
      </c>
      <c r="I32" s="376"/>
    </row>
    <row r="33" spans="1:9" s="321" customFormat="1">
      <c r="A33" s="321" t="s">
        <v>613</v>
      </c>
      <c r="B33" s="328">
        <v>7.0000000000000007E-2</v>
      </c>
      <c r="C33" s="134"/>
      <c r="I33" s="376"/>
    </row>
    <row r="34" spans="1:9" s="321" customFormat="1" ht="13.5" thickBot="1">
      <c r="A34" s="321" t="s">
        <v>614</v>
      </c>
      <c r="B34" s="325">
        <v>5.5E-2</v>
      </c>
      <c r="C34" s="134"/>
      <c r="I34" s="376"/>
    </row>
    <row r="35" spans="1:9" s="321" customFormat="1" ht="13.5" thickBot="1">
      <c r="A35" s="321" t="s">
        <v>644</v>
      </c>
      <c r="B35" s="325">
        <v>8.5000000000000006E-2</v>
      </c>
      <c r="C35" s="324"/>
      <c r="I35" s="1129" t="s">
        <v>645</v>
      </c>
    </row>
    <row r="36" spans="1:9" s="321" customFormat="1" ht="13.5" thickBot="1">
      <c r="A36" s="321" t="s">
        <v>615</v>
      </c>
      <c r="B36" s="328">
        <f>'Other input data'!B28</f>
        <v>0.05</v>
      </c>
      <c r="C36" s="324"/>
      <c r="I36" s="376"/>
    </row>
    <row r="37" spans="1:9" s="321" customFormat="1" ht="12.75" customHeight="1">
      <c r="C37" s="324"/>
      <c r="I37" s="1428" t="s">
        <v>1034</v>
      </c>
    </row>
    <row r="38" spans="1:9" s="321" customFormat="1">
      <c r="C38" s="324"/>
      <c r="I38" s="1426"/>
    </row>
    <row r="39" spans="1:9" s="321" customFormat="1">
      <c r="C39" s="324"/>
      <c r="I39" s="1426"/>
    </row>
    <row r="40" spans="1:9" ht="13.5" thickBot="1">
      <c r="A40" s="51" t="s">
        <v>646</v>
      </c>
      <c r="I40" s="1427"/>
    </row>
    <row r="41" spans="1:9">
      <c r="A41" s="123" t="s">
        <v>617</v>
      </c>
    </row>
    <row r="42" spans="1:9">
      <c r="A42" s="21" t="s">
        <v>647</v>
      </c>
      <c r="B42" s="330"/>
      <c r="C42" s="842">
        <f>C21*(1-$B$22)</f>
        <v>-34476</v>
      </c>
      <c r="D42" s="842">
        <f>D21*(1-$B$22)</f>
        <v>6213.35</v>
      </c>
      <c r="E42" s="842">
        <f>E21*(1-$B$22)</f>
        <v>299565.5</v>
      </c>
      <c r="F42" s="842">
        <f>F21*(1-$B$22)</f>
        <v>410428.85000000003</v>
      </c>
      <c r="G42" s="842">
        <f>G21*(1-$B$22)</f>
        <v>781452.1</v>
      </c>
    </row>
    <row r="43" spans="1:9">
      <c r="A43" s="21" t="s">
        <v>648</v>
      </c>
      <c r="B43" s="330"/>
      <c r="C43" s="842">
        <f>IF($B$26="Yes",($B$27-1)*C24,C23-C24)</f>
        <v>6125</v>
      </c>
      <c r="D43" s="842">
        <f>IF($B$26="Yes",($B$27-1)*D24,D23-D24)</f>
        <v>12250</v>
      </c>
      <c r="E43" s="842">
        <f>IF($B$26="Yes",($B$27-1)*E24,E23-E24)</f>
        <v>19500</v>
      </c>
      <c r="F43" s="842">
        <f>IF($B$26="Yes",($B$27-1)*F24,F23-F24)</f>
        <v>26200</v>
      </c>
      <c r="G43" s="842">
        <f>IF($B$26="Yes",($B$27-1)*G24,G23-G24)</f>
        <v>35500</v>
      </c>
    </row>
    <row r="44" spans="1:9">
      <c r="A44" s="21" t="s">
        <v>649</v>
      </c>
      <c r="B44" s="330"/>
      <c r="C44" s="842">
        <f>C25</f>
        <v>-56995</v>
      </c>
      <c r="D44" s="842">
        <f>D25</f>
        <v>34540</v>
      </c>
      <c r="E44" s="842">
        <f>E25</f>
        <v>69347</v>
      </c>
      <c r="F44" s="842">
        <f>F25</f>
        <v>-9520</v>
      </c>
      <c r="G44" s="842">
        <f>G25</f>
        <v>47777</v>
      </c>
    </row>
    <row r="45" spans="1:9">
      <c r="A45" s="21" t="s">
        <v>650</v>
      </c>
      <c r="B45" s="303"/>
      <c r="C45" s="842">
        <f>C42-C43-C44</f>
        <v>16394</v>
      </c>
      <c r="D45" s="842">
        <f>D42-D43-D44</f>
        <v>-40576.65</v>
      </c>
      <c r="E45" s="842">
        <f>E42-E43-E44</f>
        <v>210718.5</v>
      </c>
      <c r="F45" s="842">
        <f>F42-F43-F44</f>
        <v>393748.85000000003</v>
      </c>
      <c r="G45" s="842">
        <f>G42-G43-G44</f>
        <v>698175.1</v>
      </c>
    </row>
    <row r="46" spans="1:9">
      <c r="B46" s="303"/>
      <c r="D46" s="331"/>
      <c r="F46" s="303"/>
    </row>
    <row r="47" spans="1:9" ht="13.5" thickBot="1">
      <c r="A47" s="383" t="s">
        <v>621</v>
      </c>
      <c r="B47" s="384">
        <f>IF(B29="Yes",B30,B33+B32*B34)</f>
        <v>0.1305</v>
      </c>
      <c r="C47" s="385"/>
      <c r="D47" s="385"/>
      <c r="E47" s="385"/>
      <c r="F47" s="385"/>
      <c r="G47" s="386"/>
    </row>
    <row r="48" spans="1:9" ht="12" customHeight="1">
      <c r="A48" s="387" t="s">
        <v>651</v>
      </c>
      <c r="B48" s="388">
        <f>B35*(1-B22)</f>
        <v>5.5250000000000007E-2</v>
      </c>
      <c r="C48" s="381"/>
      <c r="D48" s="381"/>
      <c r="E48" s="381"/>
      <c r="F48" s="381"/>
      <c r="G48" s="389"/>
      <c r="I48" s="1425" t="s">
        <v>947</v>
      </c>
    </row>
    <row r="49" spans="1:25" ht="12" customHeight="1">
      <c r="A49" s="387" t="s">
        <v>652</v>
      </c>
      <c r="B49" s="381"/>
      <c r="C49" s="388">
        <f>$B$47*(1-C28)+$B$48*C28</f>
        <v>7.5788928039273562E-2</v>
      </c>
      <c r="D49" s="388">
        <f>$B$47*(1-D28)+$B$48*D28</f>
        <v>7.8070253916418628E-2</v>
      </c>
      <c r="E49" s="388">
        <f>$B$47*(1-E28)+$B$48*E28</f>
        <v>0.10810838431579582</v>
      </c>
      <c r="F49" s="388">
        <f>$B$47*(1-F28)+$B$48*F28</f>
        <v>0.11916419505188371</v>
      </c>
      <c r="G49" s="390">
        <f>$B$47*(1-G28)+$B$48*G28</f>
        <v>0.12296927928610187</v>
      </c>
      <c r="I49" s="1426"/>
    </row>
    <row r="50" spans="1:25">
      <c r="A50" s="391" t="s">
        <v>622</v>
      </c>
      <c r="B50" s="392">
        <f>B36</f>
        <v>0.05</v>
      </c>
      <c r="C50" s="382" t="str">
        <f>IF(B50&gt;0.1,"This is high for an infinite growth rate. Check it"," ")</f>
        <v xml:space="preserve"> </v>
      </c>
      <c r="D50" s="382"/>
      <c r="E50" s="382"/>
      <c r="F50" s="382"/>
      <c r="G50" s="393"/>
      <c r="I50" s="1426"/>
    </row>
    <row r="51" spans="1:25" ht="13.5" thickBot="1">
      <c r="I51" s="1427"/>
    </row>
    <row r="52" spans="1:25" ht="13.5" thickBot="1">
      <c r="A52" s="394" t="s">
        <v>653</v>
      </c>
      <c r="B52" s="395"/>
      <c r="C52" s="850">
        <f>C45*(1+$B$50)/(C49-$B$50)</f>
        <v>667484.12240266532</v>
      </c>
      <c r="D52" s="850">
        <f>D45*(1+$B$50)/(D49-$B$50)</f>
        <v>-1517816.0705942013</v>
      </c>
      <c r="E52" s="850">
        <f>E45*(1+$B$50)/(E49-$B$50)</f>
        <v>3807616.1917972239</v>
      </c>
      <c r="F52" s="850">
        <f>F45*(1+$B$50)/(F49-$B$50)</f>
        <v>5977605.7856215881</v>
      </c>
      <c r="G52" s="851">
        <f>G45*(1+$B$50)/(G49-$B$50)</f>
        <v>10046472.463098964</v>
      </c>
    </row>
    <row r="53" spans="1:25">
      <c r="A53" s="123"/>
      <c r="B53" s="123"/>
      <c r="C53" s="123"/>
      <c r="D53" s="123"/>
      <c r="E53" s="123"/>
      <c r="F53" s="123"/>
      <c r="G53" s="123"/>
      <c r="H53" s="123"/>
      <c r="I53" s="377"/>
      <c r="J53" s="123"/>
      <c r="K53" s="123"/>
      <c r="L53" s="123"/>
      <c r="M53" s="123"/>
      <c r="N53" s="123"/>
      <c r="O53" s="123"/>
      <c r="P53" s="123"/>
      <c r="Q53" s="123"/>
      <c r="R53" s="123"/>
      <c r="S53" s="123"/>
      <c r="T53" s="123"/>
      <c r="U53" s="123"/>
      <c r="V53" s="123"/>
      <c r="W53" s="123"/>
      <c r="X53" s="123"/>
    </row>
    <row r="54" spans="1:25" ht="13.5" thickBot="1">
      <c r="A54" s="852" t="s">
        <v>624</v>
      </c>
      <c r="B54" s="853" t="s">
        <v>625</v>
      </c>
      <c r="C54" s="854"/>
      <c r="D54" s="854"/>
      <c r="E54" s="854"/>
      <c r="F54" s="854"/>
      <c r="G54" s="855"/>
      <c r="H54" s="123"/>
      <c r="I54" s="377"/>
      <c r="J54" s="123"/>
      <c r="K54" s="123"/>
      <c r="L54" s="123"/>
      <c r="M54" s="123"/>
      <c r="N54" s="123"/>
      <c r="O54" s="123"/>
      <c r="P54" s="123"/>
      <c r="Q54" s="123"/>
      <c r="R54" s="123"/>
      <c r="S54" s="123"/>
      <c r="T54" s="123"/>
      <c r="U54" s="123"/>
      <c r="V54" s="123"/>
      <c r="W54" s="123"/>
      <c r="X54" s="123"/>
      <c r="Y54" s="123"/>
    </row>
    <row r="55" spans="1:25" s="123" customFormat="1" ht="12.75" customHeight="1">
      <c r="A55" s="840">
        <f>B50+2%</f>
        <v>7.0000000000000007E-2</v>
      </c>
      <c r="B55" s="381"/>
      <c r="C55" s="842">
        <f t="shared" ref="C55:G61" si="0">C$45*(1+$A55)/(C$49-$A55)</f>
        <v>3030194.8618109389</v>
      </c>
      <c r="D55" s="842">
        <f t="shared" si="0"/>
        <v>-5379882.21308251</v>
      </c>
      <c r="E55" s="843">
        <f t="shared" si="0"/>
        <v>5916514.1490016896</v>
      </c>
      <c r="F55" s="842">
        <f t="shared" si="0"/>
        <v>8569473.5580514241</v>
      </c>
      <c r="G55" s="842">
        <f t="shared" si="0"/>
        <v>14103407.99550979</v>
      </c>
      <c r="H55" s="21"/>
      <c r="I55" s="1425" t="s">
        <v>1056</v>
      </c>
      <c r="J55" s="21"/>
      <c r="K55" s="21"/>
      <c r="L55" s="21"/>
      <c r="M55" s="21"/>
      <c r="N55" s="21"/>
      <c r="O55" s="21"/>
      <c r="P55" s="21"/>
      <c r="Q55" s="21"/>
      <c r="R55" s="21"/>
      <c r="S55" s="21"/>
      <c r="T55" s="21"/>
      <c r="U55" s="21"/>
      <c r="V55" s="21"/>
      <c r="W55" s="21"/>
      <c r="X55" s="21"/>
    </row>
    <row r="56" spans="1:25" s="123" customFormat="1">
      <c r="A56" s="840">
        <f>B50+1%</f>
        <v>6.0000000000000005E-2</v>
      </c>
      <c r="B56" s="381"/>
      <c r="C56" s="842">
        <f t="shared" si="0"/>
        <v>1100621.9014219751</v>
      </c>
      <c r="D56" s="842">
        <f t="shared" si="0"/>
        <v>-2380223.8307741769</v>
      </c>
      <c r="E56" s="842">
        <f t="shared" si="0"/>
        <v>4642883.2141565373</v>
      </c>
      <c r="F56" s="842">
        <f t="shared" si="0"/>
        <v>7054499.4423398562</v>
      </c>
      <c r="G56" s="842">
        <f t="shared" si="0"/>
        <v>11752804.135449938</v>
      </c>
      <c r="H56" s="21"/>
      <c r="I56" s="1426"/>
      <c r="J56" s="21"/>
      <c r="K56" s="21"/>
      <c r="L56" s="21"/>
      <c r="M56" s="21"/>
      <c r="N56" s="21"/>
      <c r="O56" s="21"/>
      <c r="P56" s="21"/>
      <c r="Q56" s="21"/>
      <c r="R56" s="21"/>
      <c r="S56" s="21"/>
      <c r="T56" s="21"/>
      <c r="U56" s="21"/>
      <c r="V56" s="21"/>
      <c r="W56" s="21"/>
      <c r="X56" s="21"/>
      <c r="Y56" s="21"/>
    </row>
    <row r="57" spans="1:25">
      <c r="A57" s="840">
        <f>B50</f>
        <v>0.05</v>
      </c>
      <c r="B57" s="381"/>
      <c r="C57" s="842">
        <f t="shared" si="0"/>
        <v>667484.12240266532</v>
      </c>
      <c r="D57" s="842">
        <f t="shared" si="0"/>
        <v>-1517816.0705942013</v>
      </c>
      <c r="E57" s="842">
        <f t="shared" si="0"/>
        <v>3807616.1917972239</v>
      </c>
      <c r="F57" s="842">
        <f t="shared" si="0"/>
        <v>5977605.7856215881</v>
      </c>
      <c r="G57" s="842">
        <f t="shared" si="0"/>
        <v>10046472.463098964</v>
      </c>
      <c r="I57" s="1426"/>
    </row>
    <row r="58" spans="1:25">
      <c r="A58" s="840">
        <f>B50-1%</f>
        <v>0.04</v>
      </c>
      <c r="B58" s="381"/>
      <c r="C58" s="842">
        <f t="shared" si="0"/>
        <v>476397.6160808776</v>
      </c>
      <c r="D58" s="842">
        <f t="shared" si="0"/>
        <v>-1108469.5177670054</v>
      </c>
      <c r="E58" s="842">
        <f t="shared" si="0"/>
        <v>3217624.9987650192</v>
      </c>
      <c r="F58" s="842">
        <f t="shared" si="0"/>
        <v>5172777.9677620307</v>
      </c>
      <c r="G58" s="842">
        <f t="shared" si="0"/>
        <v>8751457.2893443089</v>
      </c>
      <c r="I58" s="1426"/>
    </row>
    <row r="59" spans="1:25">
      <c r="A59" s="840">
        <f>B50-2%</f>
        <v>3.0000000000000002E-2</v>
      </c>
      <c r="B59" s="381"/>
      <c r="C59" s="842">
        <f t="shared" si="0"/>
        <v>368775.17607568548</v>
      </c>
      <c r="D59" s="842">
        <f t="shared" si="0"/>
        <v>-869434.75631871121</v>
      </c>
      <c r="E59" s="842">
        <f t="shared" si="0"/>
        <v>2778703.6808045725</v>
      </c>
      <c r="F59" s="842">
        <f t="shared" si="0"/>
        <v>4548477.281312394</v>
      </c>
      <c r="G59" s="842">
        <f t="shared" si="0"/>
        <v>7735032.0290963305</v>
      </c>
      <c r="I59" s="1426"/>
    </row>
    <row r="60" spans="1:25" ht="13.5" thickBot="1">
      <c r="A60" s="840">
        <f>B50-3%</f>
        <v>2.0000000000000004E-2</v>
      </c>
      <c r="B60" s="381"/>
      <c r="C60" s="842">
        <f t="shared" si="0"/>
        <v>299734.74285486096</v>
      </c>
      <c r="D60" s="842">
        <f t="shared" si="0"/>
        <v>-712726.05522907875</v>
      </c>
      <c r="E60" s="842">
        <f t="shared" si="0"/>
        <v>2439414.4969182853</v>
      </c>
      <c r="F60" s="842">
        <f t="shared" si="0"/>
        <v>4050089.1152281975</v>
      </c>
      <c r="G60" s="842">
        <f t="shared" si="0"/>
        <v>6916029.7803125428</v>
      </c>
      <c r="I60" s="1427"/>
    </row>
    <row r="61" spans="1:25">
      <c r="A61" s="840">
        <f>B50-4%</f>
        <v>1.0000000000000002E-2</v>
      </c>
      <c r="B61" s="382"/>
      <c r="C61" s="842">
        <f t="shared" si="0"/>
        <v>251682.77540736826</v>
      </c>
      <c r="D61" s="842">
        <f t="shared" si="0"/>
        <v>-602060.57921160467</v>
      </c>
      <c r="E61" s="842">
        <f t="shared" si="0"/>
        <v>2169291.5084091774</v>
      </c>
      <c r="F61" s="842">
        <f t="shared" si="0"/>
        <v>3643010.7720849961</v>
      </c>
      <c r="G61" s="842">
        <f t="shared" si="0"/>
        <v>6242023.1009365432</v>
      </c>
    </row>
  </sheetData>
  <mergeCells count="4">
    <mergeCell ref="I55:I60"/>
    <mergeCell ref="I37:I40"/>
    <mergeCell ref="I48:I51"/>
    <mergeCell ref="A1:B1"/>
  </mergeCells>
  <phoneticPr fontId="139" type="noConversion"/>
  <dataValidations count="1">
    <dataValidation type="list" allowBlank="1" showInputMessage="1" showErrorMessage="1" sqref="B26 B29" xr:uid="{00000000-0002-0000-2300-000000000000}">
      <formula1>YesNo</formula1>
    </dataValidation>
  </dataValidations>
  <pageMargins left="0.70000000000000007" right="0.70000000000000007" top="0.75000000000000011" bottom="0.75000000000000011" header="0.30000000000000004" footer="0.30000000000000004"/>
  <pageSetup paperSize="9" scale="53" orientation="portrait" horizontalDpi="4294967292" verticalDpi="429496729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19"/>
  <sheetViews>
    <sheetView zoomScale="125" zoomScaleNormal="125" zoomScalePageLayoutView="125" workbookViewId="0">
      <selection activeCell="C8" sqref="C8"/>
    </sheetView>
  </sheetViews>
  <sheetFormatPr defaultColWidth="8.85546875" defaultRowHeight="12.75"/>
  <cols>
    <col min="1" max="1" width="23.7109375" bestFit="1" customWidth="1"/>
    <col min="2" max="2" width="6.140625" customWidth="1"/>
    <col min="3" max="7" width="12.42578125" customWidth="1"/>
    <col min="8" max="8" width="4.7109375" customWidth="1"/>
    <col min="9" max="9" width="69.140625" customWidth="1"/>
  </cols>
  <sheetData>
    <row r="1" spans="1:7" ht="15">
      <c r="A1" s="1383" t="s">
        <v>1375</v>
      </c>
      <c r="B1" s="1384"/>
      <c r="C1" s="989"/>
      <c r="D1" s="989"/>
    </row>
    <row r="3" spans="1:7">
      <c r="A3" s="51" t="s">
        <v>1560</v>
      </c>
      <c r="B3" s="51"/>
    </row>
    <row r="5" spans="1:7" ht="15">
      <c r="A5" s="418"/>
      <c r="B5" s="142"/>
      <c r="C5" s="401" t="s">
        <v>728</v>
      </c>
      <c r="D5" s="401" t="s">
        <v>727</v>
      </c>
      <c r="E5" s="401" t="s">
        <v>1317</v>
      </c>
      <c r="F5" s="401" t="s">
        <v>1318</v>
      </c>
      <c r="G5" s="401" t="s">
        <v>372</v>
      </c>
    </row>
    <row r="6" spans="1:7">
      <c r="A6" s="142" t="s">
        <v>675</v>
      </c>
      <c r="B6" s="142"/>
      <c r="C6" s="403">
        <f>' Exhibit '!B38</f>
        <v>-0.66689048224263192</v>
      </c>
      <c r="D6" s="403">
        <f>' Exhibit '!C38</f>
        <v>1.0511357119254512</v>
      </c>
      <c r="E6" s="403">
        <f>' Exhibit '!D38</f>
        <v>3.8709184518023965E-2</v>
      </c>
      <c r="F6" s="403">
        <f>' Exhibit '!E38</f>
        <v>1.7731775152938521E-2</v>
      </c>
      <c r="G6" s="403">
        <f>' Exhibit '!F38</f>
        <v>3.347012381135878E-3</v>
      </c>
    </row>
    <row r="7" spans="1:7">
      <c r="A7" s="142" t="s">
        <v>685</v>
      </c>
      <c r="B7" s="142"/>
      <c r="C7" s="404">
        <f>' Exhibit '!B19</f>
        <v>0.08</v>
      </c>
      <c r="D7" s="404">
        <f>' Exhibit '!C19</f>
        <v>0.08</v>
      </c>
      <c r="E7" s="404">
        <f>' Exhibit '!D19</f>
        <v>0.08</v>
      </c>
      <c r="F7" s="404">
        <f>' Exhibit '!E19</f>
        <v>0.08</v>
      </c>
      <c r="G7" s="404">
        <f>' Exhibit '!F19</f>
        <v>0.08</v>
      </c>
    </row>
    <row r="8" spans="1:7">
      <c r="A8" s="142" t="s">
        <v>686</v>
      </c>
      <c r="B8" s="142"/>
      <c r="C8" s="404">
        <f>' Exhibit '!B20</f>
        <v>0.12</v>
      </c>
      <c r="D8" s="404">
        <f>' Exhibit '!C20</f>
        <v>0.12</v>
      </c>
      <c r="E8" s="404">
        <f>' Exhibit '!D20</f>
        <v>0.12</v>
      </c>
      <c r="F8" s="404">
        <f>' Exhibit '!E20</f>
        <v>0.12</v>
      </c>
      <c r="G8" s="404">
        <f>' Exhibit '!F20</f>
        <v>0.12</v>
      </c>
    </row>
    <row r="9" spans="1:7">
      <c r="A9" s="142" t="s">
        <v>654</v>
      </c>
      <c r="B9" s="405">
        <f>' Exhibit '!$B$4</f>
        <v>0.35</v>
      </c>
      <c r="C9" s="142"/>
      <c r="D9" s="405"/>
      <c r="E9" s="142"/>
      <c r="F9" s="142"/>
      <c r="G9" s="142"/>
    </row>
    <row r="10" spans="1:7">
      <c r="A10" s="142"/>
      <c r="B10" s="142"/>
      <c r="C10" s="405"/>
      <c r="D10" s="142"/>
      <c r="E10" s="142"/>
      <c r="F10" s="142"/>
      <c r="G10" s="142"/>
    </row>
    <row r="11" spans="1:7">
      <c r="A11" s="142" t="s">
        <v>687</v>
      </c>
      <c r="B11" s="142"/>
      <c r="C11" s="403">
        <f>C7*(1-$B$9)</f>
        <v>5.2000000000000005E-2</v>
      </c>
      <c r="D11" s="403">
        <f>D7*(1-$B$9)</f>
        <v>5.2000000000000005E-2</v>
      </c>
      <c r="E11" s="403">
        <f>E7*(1-$B$9)</f>
        <v>5.2000000000000005E-2</v>
      </c>
      <c r="F11" s="403">
        <f>F7*(1-$B$9)</f>
        <v>5.2000000000000005E-2</v>
      </c>
      <c r="G11" s="403">
        <f>G7*(1-$B$9)</f>
        <v>5.2000000000000005E-2</v>
      </c>
    </row>
    <row r="12" spans="1:7">
      <c r="A12" s="406" t="s">
        <v>1561</v>
      </c>
      <c r="B12" s="142"/>
      <c r="C12" s="403">
        <f>C11*C6</f>
        <v>-3.4678305076616865E-2</v>
      </c>
      <c r="D12" s="403">
        <f>D11*D6</f>
        <v>5.4659057020123469E-2</v>
      </c>
      <c r="E12" s="403">
        <f>E11*E6</f>
        <v>2.0128775949372463E-3</v>
      </c>
      <c r="F12" s="403">
        <f>F11*F6</f>
        <v>9.2205230795280315E-4</v>
      </c>
      <c r="G12" s="403">
        <f>G11*G6</f>
        <v>1.7404464381906568E-4</v>
      </c>
    </row>
    <row r="13" spans="1:7">
      <c r="A13" s="406" t="s">
        <v>1562</v>
      </c>
      <c r="B13" s="142"/>
      <c r="C13" s="404">
        <f>C8*(1-C6)</f>
        <v>0.20002685786911584</v>
      </c>
      <c r="D13" s="404">
        <f>D8*(1-D6)</f>
        <v>-6.136285431054142E-3</v>
      </c>
      <c r="E13" s="404">
        <f>E8*(1-E6)</f>
        <v>0.11535489785783712</v>
      </c>
      <c r="F13" s="404">
        <f>F8*(1-F6)</f>
        <v>0.11787218698164736</v>
      </c>
      <c r="G13" s="404">
        <f>G8*(1-G6)</f>
        <v>0.11959835851426369</v>
      </c>
    </row>
    <row r="14" spans="1:7">
      <c r="A14" s="407" t="s">
        <v>997</v>
      </c>
      <c r="B14" s="408"/>
      <c r="C14" s="409">
        <f>C12+C13</f>
        <v>0.16534855279249897</v>
      </c>
      <c r="D14" s="409">
        <f>D12+D13</f>
        <v>4.8522771589069327E-2</v>
      </c>
      <c r="E14" s="409">
        <f>E12+E13</f>
        <v>0.11736777545277437</v>
      </c>
      <c r="F14" s="409">
        <f>F12+F13</f>
        <v>0.11879423928960017</v>
      </c>
      <c r="G14" s="410">
        <f>G12+G13</f>
        <v>0.11977240315808275</v>
      </c>
    </row>
    <row r="17" spans="1:7">
      <c r="A17" s="1429" t="s">
        <v>951</v>
      </c>
      <c r="B17" s="1430"/>
      <c r="C17" s="1430"/>
      <c r="D17" s="1430"/>
      <c r="E17" s="1430"/>
      <c r="F17" s="1430"/>
      <c r="G17" s="1430"/>
    </row>
    <row r="18" spans="1:7">
      <c r="A18" s="1429" t="s">
        <v>952</v>
      </c>
      <c r="B18" s="1430"/>
      <c r="C18" s="1430"/>
      <c r="D18" s="1430"/>
      <c r="E18" s="1430"/>
      <c r="F18" s="1430"/>
      <c r="G18" s="1430"/>
    </row>
    <row r="19" spans="1:7">
      <c r="A19" s="1429" t="s">
        <v>953</v>
      </c>
      <c r="B19" s="1430"/>
      <c r="C19" s="1430"/>
      <c r="D19" s="1430"/>
      <c r="E19" s="1430"/>
      <c r="F19" s="1430"/>
      <c r="G19" s="1430"/>
    </row>
  </sheetData>
  <mergeCells count="4">
    <mergeCell ref="A1:B1"/>
    <mergeCell ref="A17:G17"/>
    <mergeCell ref="A18:G18"/>
    <mergeCell ref="A19:G19"/>
  </mergeCells>
  <phoneticPr fontId="139" type="noConversion"/>
  <pageMargins left="0.7" right="0.68627450980392157" top="0.75" bottom="0.75" header="0.3" footer="0.3"/>
  <pageSetup paperSize="9" scale="97" orientation="portrait"/>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B4"/>
  <sheetViews>
    <sheetView workbookViewId="0">
      <selection activeCell="N19" sqref="N19"/>
    </sheetView>
  </sheetViews>
  <sheetFormatPr defaultColWidth="8.85546875" defaultRowHeight="12.75"/>
  <sheetData>
    <row r="2" spans="2:2">
      <c r="B2" t="s">
        <v>1557</v>
      </c>
    </row>
    <row r="3" spans="2:2">
      <c r="B3" t="s">
        <v>609</v>
      </c>
    </row>
    <row r="4" spans="2:2">
      <c r="B4" t="s">
        <v>607</v>
      </c>
    </row>
  </sheetData>
  <phoneticPr fontId="139" type="noConversion"/>
  <pageMargins left="0.7" right="0.7" top="0.75" bottom="0.75" header="0.3" footer="0.3"/>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91"/>
  <sheetViews>
    <sheetView zoomScale="125" zoomScaleNormal="125" zoomScalePageLayoutView="125" workbookViewId="0">
      <selection activeCell="D37" sqref="D37"/>
    </sheetView>
  </sheetViews>
  <sheetFormatPr defaultColWidth="9.140625" defaultRowHeight="15.75"/>
  <cols>
    <col min="1" max="1" width="35.28515625" style="86" bestFit="1" customWidth="1"/>
    <col min="2" max="2" width="21.140625" style="86" bestFit="1" customWidth="1"/>
    <col min="3" max="3" width="15.42578125" style="86" bestFit="1" customWidth="1"/>
    <col min="4" max="4" width="14.7109375" style="86" customWidth="1"/>
    <col min="5" max="5" width="19.42578125" style="86" bestFit="1" customWidth="1"/>
    <col min="6" max="6" width="11.7109375" style="86" customWidth="1"/>
    <col min="7" max="16384" width="9.140625" style="86"/>
  </cols>
  <sheetData>
    <row r="1" spans="1:7" ht="18.75">
      <c r="A1" s="1431" t="s">
        <v>1661</v>
      </c>
      <c r="B1" s="1432"/>
      <c r="C1" s="1432"/>
      <c r="D1" s="1432"/>
      <c r="E1" s="1432"/>
      <c r="F1" s="1432"/>
      <c r="G1" s="1270"/>
    </row>
    <row r="3" spans="1:7">
      <c r="A3" s="1433" t="s">
        <v>1660</v>
      </c>
      <c r="B3" s="1433"/>
      <c r="C3" s="1433"/>
      <c r="D3" s="1433"/>
      <c r="E3" s="1433"/>
      <c r="F3" s="1433"/>
    </row>
    <row r="4" spans="1:7">
      <c r="A4" s="1433"/>
      <c r="B4" s="1433"/>
      <c r="C4" s="1433"/>
      <c r="D4" s="1433"/>
      <c r="E4" s="1433"/>
      <c r="F4" s="1433"/>
    </row>
    <row r="5" spans="1:7">
      <c r="A5" s="1433"/>
      <c r="B5" s="1433"/>
      <c r="C5" s="1433"/>
      <c r="D5" s="1433"/>
      <c r="E5" s="1433"/>
      <c r="F5" s="1433"/>
    </row>
    <row r="6" spans="1:7">
      <c r="A6" s="1433"/>
      <c r="B6" s="1433"/>
      <c r="C6" s="1433"/>
      <c r="D6" s="1433"/>
      <c r="E6" s="1433"/>
      <c r="F6" s="1433"/>
    </row>
    <row r="7" spans="1:7">
      <c r="A7" s="1433"/>
      <c r="B7" s="1433"/>
      <c r="C7" s="1433"/>
      <c r="D7" s="1433"/>
      <c r="E7" s="1433"/>
      <c r="F7" s="1433"/>
    </row>
    <row r="8" spans="1:7">
      <c r="A8" s="1157"/>
      <c r="B8" s="1157"/>
      <c r="C8" s="1157"/>
      <c r="D8" s="1157"/>
      <c r="E8" s="1157"/>
      <c r="F8" s="1157"/>
    </row>
    <row r="9" spans="1:7">
      <c r="A9" s="1158" t="s">
        <v>1580</v>
      </c>
      <c r="B9" s="1159"/>
      <c r="C9" s="1159"/>
      <c r="D9" s="1159"/>
      <c r="E9" s="1159"/>
      <c r="F9" s="1159"/>
    </row>
    <row r="10" spans="1:7">
      <c r="B10" s="98" t="s">
        <v>1581</v>
      </c>
    </row>
    <row r="11" spans="1:7">
      <c r="A11" s="1156" t="s">
        <v>1582</v>
      </c>
      <c r="B11" s="1160">
        <f>ABS('Income Statement'!G31)</f>
        <v>1202234</v>
      </c>
    </row>
    <row r="12" spans="1:7">
      <c r="A12" s="1156" t="s">
        <v>1583</v>
      </c>
      <c r="B12" s="1160">
        <f>ABS('Income Statement'!G56)</f>
        <v>1200487</v>
      </c>
    </row>
    <row r="13" spans="1:7">
      <c r="A13" s="1156" t="s">
        <v>1584</v>
      </c>
      <c r="B13" s="1160">
        <f>ABS('Income Statement'!G58)</f>
        <v>120051</v>
      </c>
    </row>
    <row r="14" spans="1:7">
      <c r="A14" s="1156" t="s">
        <v>654</v>
      </c>
      <c r="B14" s="1161">
        <f>B13/B12</f>
        <v>0.100001915889135</v>
      </c>
    </row>
    <row r="15" spans="1:7">
      <c r="A15" s="1156" t="s">
        <v>1730</v>
      </c>
      <c r="B15" s="1162">
        <f>B12-B13</f>
        <v>1080436</v>
      </c>
      <c r="C15" s="1163"/>
    </row>
    <row r="16" spans="1:7">
      <c r="A16" s="1156" t="s">
        <v>1586</v>
      </c>
      <c r="B16" s="1164">
        <f>ABS('Balance Sheet'!G62+'Balance Sheet'!G53)</f>
        <v>2174676.7046775408</v>
      </c>
    </row>
    <row r="17" spans="1:6">
      <c r="A17" s="1165" t="str">
        <f>HYPERLINK("http://en.wikipedia.org/wiki/Capital_expenditures", "Capital expenditures (CAPEX)")</f>
        <v>Capital expenditures (CAPEX)</v>
      </c>
      <c r="B17" s="1164">
        <f>ABS('Cash Flow Statement'!F44+'Cash Flow Statement'!F45)</f>
        <v>46558</v>
      </c>
    </row>
    <row r="18" spans="1:6">
      <c r="A18" s="1156" t="s">
        <v>1587</v>
      </c>
      <c r="B18" s="1164">
        <f>ABS('Cash Flow Statement'!F46)</f>
        <v>142000</v>
      </c>
    </row>
    <row r="19" spans="1:6">
      <c r="A19" s="1166"/>
    </row>
    <row r="20" spans="1:6">
      <c r="A20" s="1150" t="s">
        <v>1588</v>
      </c>
      <c r="B20" s="1167">
        <v>4</v>
      </c>
    </row>
    <row r="21" spans="1:6">
      <c r="A21" s="1156" t="s">
        <v>1589</v>
      </c>
      <c r="B21" s="1168">
        <f>ABS('Income Statement'!G13)</f>
        <v>125553</v>
      </c>
    </row>
    <row r="22" spans="1:6">
      <c r="B22" s="1169"/>
    </row>
    <row r="23" spans="1:6">
      <c r="A23" s="1433" t="s">
        <v>1590</v>
      </c>
      <c r="B23" s="1433"/>
      <c r="C23" s="1433"/>
      <c r="D23" s="1433"/>
      <c r="E23" s="1433"/>
      <c r="F23" s="1433"/>
    </row>
    <row r="24" spans="1:6">
      <c r="A24" s="1433"/>
      <c r="B24" s="1433"/>
      <c r="C24" s="1433"/>
      <c r="D24" s="1433"/>
      <c r="E24" s="1433"/>
      <c r="F24" s="1433"/>
    </row>
    <row r="25" spans="1:6">
      <c r="A25" s="1170" t="s">
        <v>1591</v>
      </c>
      <c r="B25" s="1170" t="s">
        <v>1592</v>
      </c>
      <c r="C25" s="1171"/>
      <c r="D25" s="1171"/>
      <c r="E25" s="1171"/>
      <c r="F25" s="1171"/>
    </row>
    <row r="26" spans="1:6">
      <c r="A26" s="1172">
        <v>-1</v>
      </c>
      <c r="B26" s="1173">
        <f>ABS('Income Statement'!F13)</f>
        <v>68333</v>
      </c>
      <c r="C26" s="1171"/>
      <c r="D26" s="1171"/>
      <c r="E26" s="1171"/>
      <c r="F26" s="1171"/>
    </row>
    <row r="27" spans="1:6">
      <c r="A27" s="1172">
        <f t="shared" ref="A27:A45" si="0">IF((0-A26)&lt;$B$20,IF(A26&gt;-1,,A26-1),)</f>
        <v>-2</v>
      </c>
      <c r="B27" s="1173">
        <f>ABS('Income Statement'!E13)</f>
        <v>44795</v>
      </c>
      <c r="C27" s="1171"/>
      <c r="D27" s="1171"/>
      <c r="E27" s="1171"/>
      <c r="F27" s="1171"/>
    </row>
    <row r="28" spans="1:6">
      <c r="A28" s="1172">
        <f t="shared" si="0"/>
        <v>-3</v>
      </c>
      <c r="B28" s="1173">
        <f>ABS('Income Statement'!D13)</f>
        <v>11224</v>
      </c>
      <c r="C28" s="1171"/>
      <c r="D28" s="1171"/>
      <c r="E28" s="1171"/>
      <c r="F28" s="1171"/>
    </row>
    <row r="29" spans="1:6">
      <c r="A29" s="1172">
        <f t="shared" si="0"/>
        <v>-4</v>
      </c>
      <c r="B29" s="1173">
        <f>ABS('Income Statement'!C13)</f>
        <v>1872</v>
      </c>
      <c r="C29" s="1171"/>
      <c r="D29" s="1171"/>
      <c r="E29" s="1171"/>
      <c r="F29" s="1171"/>
    </row>
    <row r="30" spans="1:6">
      <c r="A30" s="1172">
        <f t="shared" si="0"/>
        <v>0</v>
      </c>
      <c r="B30" s="1173"/>
      <c r="C30" s="1171"/>
      <c r="D30" s="1171"/>
      <c r="E30" s="1171"/>
      <c r="F30" s="1171"/>
    </row>
    <row r="31" spans="1:6">
      <c r="A31" s="1172">
        <f t="shared" si="0"/>
        <v>0</v>
      </c>
      <c r="B31" s="1173"/>
      <c r="C31" s="1171"/>
      <c r="D31" s="1171"/>
      <c r="E31" s="1171"/>
      <c r="F31" s="1171"/>
    </row>
    <row r="32" spans="1:6">
      <c r="A32" s="1172">
        <f t="shared" si="0"/>
        <v>0</v>
      </c>
      <c r="B32" s="1173"/>
      <c r="C32" s="1171"/>
      <c r="D32" s="1171"/>
      <c r="E32" s="1171"/>
      <c r="F32" s="1171"/>
    </row>
    <row r="33" spans="1:6">
      <c r="A33" s="1172">
        <f t="shared" si="0"/>
        <v>0</v>
      </c>
      <c r="B33" s="1173"/>
      <c r="C33" s="1171"/>
      <c r="D33" s="1171"/>
      <c r="E33" s="1171"/>
      <c r="F33" s="1171"/>
    </row>
    <row r="34" spans="1:6">
      <c r="A34" s="1172">
        <f t="shared" si="0"/>
        <v>0</v>
      </c>
      <c r="B34" s="1173"/>
      <c r="C34" s="1171"/>
      <c r="D34" s="1171"/>
      <c r="E34" s="1171"/>
      <c r="F34" s="1171"/>
    </row>
    <row r="35" spans="1:6">
      <c r="A35" s="1172">
        <f t="shared" si="0"/>
        <v>0</v>
      </c>
      <c r="B35" s="1173"/>
      <c r="C35" s="1171"/>
      <c r="D35" s="1171"/>
      <c r="E35" s="1171"/>
      <c r="F35" s="1171"/>
    </row>
    <row r="36" spans="1:6">
      <c r="A36" s="1172">
        <f t="shared" si="0"/>
        <v>0</v>
      </c>
      <c r="B36" s="1173"/>
      <c r="C36" s="1171"/>
      <c r="D36" s="1171"/>
      <c r="E36" s="1171"/>
      <c r="F36" s="1171"/>
    </row>
    <row r="37" spans="1:6">
      <c r="A37" s="1172">
        <f t="shared" si="0"/>
        <v>0</v>
      </c>
      <c r="B37" s="1173"/>
    </row>
    <row r="38" spans="1:6">
      <c r="A38" s="1172">
        <f t="shared" si="0"/>
        <v>0</v>
      </c>
      <c r="B38" s="1173"/>
    </row>
    <row r="39" spans="1:6">
      <c r="A39" s="1172">
        <f t="shared" si="0"/>
        <v>0</v>
      </c>
      <c r="B39" s="1173"/>
    </row>
    <row r="40" spans="1:6">
      <c r="A40" s="1172">
        <f t="shared" si="0"/>
        <v>0</v>
      </c>
      <c r="B40" s="1173"/>
    </row>
    <row r="41" spans="1:6">
      <c r="A41" s="1172">
        <f t="shared" si="0"/>
        <v>0</v>
      </c>
      <c r="B41" s="1173"/>
    </row>
    <row r="42" spans="1:6">
      <c r="A42" s="1172">
        <f t="shared" si="0"/>
        <v>0</v>
      </c>
      <c r="B42" s="1173"/>
    </row>
    <row r="43" spans="1:6">
      <c r="A43" s="1172">
        <f t="shared" si="0"/>
        <v>0</v>
      </c>
      <c r="B43" s="1173"/>
    </row>
    <row r="44" spans="1:6">
      <c r="A44" s="1172">
        <f t="shared" si="0"/>
        <v>0</v>
      </c>
      <c r="B44" s="1173"/>
    </row>
    <row r="45" spans="1:6">
      <c r="A45" s="1172">
        <f t="shared" si="0"/>
        <v>0</v>
      </c>
      <c r="B45" s="1173"/>
    </row>
    <row r="48" spans="1:6">
      <c r="A48" s="1174" t="s">
        <v>1593</v>
      </c>
      <c r="B48" s="1159"/>
      <c r="C48" s="1159"/>
      <c r="D48" s="1159"/>
      <c r="E48" s="1159"/>
      <c r="F48" s="1159"/>
    </row>
    <row r="49" spans="1:6">
      <c r="B49" s="1171"/>
      <c r="C49" s="1171"/>
      <c r="D49" s="1171"/>
      <c r="E49" s="1171"/>
      <c r="F49" s="1171"/>
    </row>
    <row r="50" spans="1:6">
      <c r="A50" s="1175" t="s">
        <v>1591</v>
      </c>
      <c r="B50" s="1175" t="s">
        <v>1594</v>
      </c>
      <c r="C50" s="1434" t="s">
        <v>1595</v>
      </c>
      <c r="D50" s="1435"/>
      <c r="E50" s="1175" t="s">
        <v>1596</v>
      </c>
      <c r="F50" s="1171"/>
    </row>
    <row r="51" spans="1:6">
      <c r="A51" s="1175" t="s">
        <v>1597</v>
      </c>
      <c r="B51" s="1176">
        <f>+B21</f>
        <v>125553</v>
      </c>
      <c r="C51" s="1175">
        <f>1</f>
        <v>1</v>
      </c>
      <c r="D51" s="1176">
        <f>B51*C51</f>
        <v>125553</v>
      </c>
      <c r="E51" s="1173">
        <v>0</v>
      </c>
      <c r="F51" s="1171"/>
    </row>
    <row r="52" spans="1:6">
      <c r="A52" s="1177">
        <f>A26</f>
        <v>-1</v>
      </c>
      <c r="B52" s="1176">
        <f>+B26</f>
        <v>68333</v>
      </c>
      <c r="C52" s="1175">
        <f>IF(A52&lt;0,($B$20+A52)/$B$20,0)</f>
        <v>0.75</v>
      </c>
      <c r="D52" s="1176">
        <f>B52*C52</f>
        <v>51249.75</v>
      </c>
      <c r="E52" s="1173">
        <f>IF(A52&lt;0,B52/$B$20,0)</f>
        <v>17083.25</v>
      </c>
      <c r="F52" s="1171"/>
    </row>
    <row r="53" spans="1:6">
      <c r="A53" s="1177">
        <f t="shared" ref="A53:A71" si="1">A27</f>
        <v>-2</v>
      </c>
      <c r="B53" s="1176">
        <f>+B27</f>
        <v>44795</v>
      </c>
      <c r="C53" s="1175">
        <f t="shared" ref="C53:C71" si="2">IF(A53&lt;0,($B$20+A53)/$B$20,0)</f>
        <v>0.5</v>
      </c>
      <c r="D53" s="1176">
        <f t="shared" ref="D53:D71" si="3">B53*C53</f>
        <v>22397.5</v>
      </c>
      <c r="E53" s="1173">
        <f t="shared" ref="E53:E71" si="4">IF(A53&lt;0,B53/$B$20,0)</f>
        <v>11198.75</v>
      </c>
      <c r="F53" s="1171"/>
    </row>
    <row r="54" spans="1:6">
      <c r="A54" s="1177">
        <f t="shared" si="1"/>
        <v>-3</v>
      </c>
      <c r="B54" s="1176">
        <f>+B28</f>
        <v>11224</v>
      </c>
      <c r="C54" s="1175">
        <f t="shared" si="2"/>
        <v>0.25</v>
      </c>
      <c r="D54" s="1176">
        <f t="shared" si="3"/>
        <v>2806</v>
      </c>
      <c r="E54" s="1173">
        <f t="shared" si="4"/>
        <v>2806</v>
      </c>
      <c r="F54" s="1171"/>
    </row>
    <row r="55" spans="1:6">
      <c r="A55" s="1177">
        <f t="shared" si="1"/>
        <v>-4</v>
      </c>
      <c r="B55" s="1176">
        <f>+B29</f>
        <v>1872</v>
      </c>
      <c r="C55" s="1175">
        <f t="shared" si="2"/>
        <v>0</v>
      </c>
      <c r="D55" s="1176">
        <f t="shared" si="3"/>
        <v>0</v>
      </c>
      <c r="E55" s="1173">
        <f t="shared" si="4"/>
        <v>468</v>
      </c>
      <c r="F55" s="1171"/>
    </row>
    <row r="56" spans="1:6">
      <c r="A56" s="1177">
        <f t="shared" si="1"/>
        <v>0</v>
      </c>
      <c r="B56" s="1176">
        <f t="shared" ref="B56:B71" si="5">+B30</f>
        <v>0</v>
      </c>
      <c r="C56" s="1175">
        <f t="shared" si="2"/>
        <v>0</v>
      </c>
      <c r="D56" s="1176">
        <f t="shared" si="3"/>
        <v>0</v>
      </c>
      <c r="E56" s="1173">
        <f t="shared" si="4"/>
        <v>0</v>
      </c>
      <c r="F56" s="1171"/>
    </row>
    <row r="57" spans="1:6">
      <c r="A57" s="1177">
        <f t="shared" si="1"/>
        <v>0</v>
      </c>
      <c r="B57" s="1176">
        <f t="shared" si="5"/>
        <v>0</v>
      </c>
      <c r="C57" s="1175">
        <f t="shared" si="2"/>
        <v>0</v>
      </c>
      <c r="D57" s="1176">
        <f t="shared" si="3"/>
        <v>0</v>
      </c>
      <c r="E57" s="1173">
        <f t="shared" si="4"/>
        <v>0</v>
      </c>
      <c r="F57" s="1171"/>
    </row>
    <row r="58" spans="1:6">
      <c r="A58" s="1177">
        <f t="shared" si="1"/>
        <v>0</v>
      </c>
      <c r="B58" s="1176">
        <f t="shared" si="5"/>
        <v>0</v>
      </c>
      <c r="C58" s="1175">
        <f t="shared" si="2"/>
        <v>0</v>
      </c>
      <c r="D58" s="1176">
        <f t="shared" si="3"/>
        <v>0</v>
      </c>
      <c r="E58" s="1173">
        <f t="shared" si="4"/>
        <v>0</v>
      </c>
      <c r="F58" s="1171"/>
    </row>
    <row r="59" spans="1:6">
      <c r="A59" s="1177">
        <f t="shared" si="1"/>
        <v>0</v>
      </c>
      <c r="B59" s="1176">
        <f t="shared" si="5"/>
        <v>0</v>
      </c>
      <c r="C59" s="1175">
        <f t="shared" si="2"/>
        <v>0</v>
      </c>
      <c r="D59" s="1176">
        <f t="shared" si="3"/>
        <v>0</v>
      </c>
      <c r="E59" s="1173">
        <f t="shared" si="4"/>
        <v>0</v>
      </c>
      <c r="F59" s="1171"/>
    </row>
    <row r="60" spans="1:6">
      <c r="A60" s="1177">
        <f t="shared" si="1"/>
        <v>0</v>
      </c>
      <c r="B60" s="1176">
        <f t="shared" si="5"/>
        <v>0</v>
      </c>
      <c r="C60" s="1175">
        <f t="shared" si="2"/>
        <v>0</v>
      </c>
      <c r="D60" s="1176">
        <f t="shared" si="3"/>
        <v>0</v>
      </c>
      <c r="E60" s="1173">
        <f t="shared" si="4"/>
        <v>0</v>
      </c>
      <c r="F60" s="1171"/>
    </row>
    <row r="61" spans="1:6">
      <c r="A61" s="1177">
        <f t="shared" si="1"/>
        <v>0</v>
      </c>
      <c r="B61" s="1176">
        <f t="shared" si="5"/>
        <v>0</v>
      </c>
      <c r="C61" s="1175">
        <f t="shared" si="2"/>
        <v>0</v>
      </c>
      <c r="D61" s="1176">
        <f t="shared" si="3"/>
        <v>0</v>
      </c>
      <c r="E61" s="1173">
        <f t="shared" si="4"/>
        <v>0</v>
      </c>
      <c r="F61" s="1171"/>
    </row>
    <row r="62" spans="1:6">
      <c r="A62" s="1177">
        <f t="shared" si="1"/>
        <v>0</v>
      </c>
      <c r="B62" s="1176">
        <f t="shared" si="5"/>
        <v>0</v>
      </c>
      <c r="C62" s="1175">
        <f t="shared" si="2"/>
        <v>0</v>
      </c>
      <c r="D62" s="1176">
        <f t="shared" si="3"/>
        <v>0</v>
      </c>
      <c r="E62" s="1173">
        <f t="shared" si="4"/>
        <v>0</v>
      </c>
      <c r="F62" s="1171"/>
    </row>
    <row r="63" spans="1:6">
      <c r="A63" s="1177">
        <f t="shared" si="1"/>
        <v>0</v>
      </c>
      <c r="B63" s="1176">
        <f t="shared" si="5"/>
        <v>0</v>
      </c>
      <c r="C63" s="1175">
        <f t="shared" si="2"/>
        <v>0</v>
      </c>
      <c r="D63" s="1176">
        <f t="shared" si="3"/>
        <v>0</v>
      </c>
      <c r="E63" s="1173">
        <f t="shared" si="4"/>
        <v>0</v>
      </c>
      <c r="F63" s="1171"/>
    </row>
    <row r="64" spans="1:6">
      <c r="A64" s="1177">
        <f t="shared" si="1"/>
        <v>0</v>
      </c>
      <c r="B64" s="1176">
        <f t="shared" si="5"/>
        <v>0</v>
      </c>
      <c r="C64" s="1175">
        <f t="shared" si="2"/>
        <v>0</v>
      </c>
      <c r="D64" s="1176">
        <f t="shared" si="3"/>
        <v>0</v>
      </c>
      <c r="E64" s="1173">
        <f t="shared" si="4"/>
        <v>0</v>
      </c>
      <c r="F64" s="1171"/>
    </row>
    <row r="65" spans="1:6">
      <c r="A65" s="1177">
        <f t="shared" si="1"/>
        <v>0</v>
      </c>
      <c r="B65" s="1176">
        <f t="shared" si="5"/>
        <v>0</v>
      </c>
      <c r="C65" s="1175">
        <f t="shared" si="2"/>
        <v>0</v>
      </c>
      <c r="D65" s="1176">
        <f t="shared" si="3"/>
        <v>0</v>
      </c>
      <c r="E65" s="1173">
        <f t="shared" si="4"/>
        <v>0</v>
      </c>
      <c r="F65" s="1171"/>
    </row>
    <row r="66" spans="1:6">
      <c r="A66" s="1177">
        <f t="shared" si="1"/>
        <v>0</v>
      </c>
      <c r="B66" s="1176">
        <f t="shared" si="5"/>
        <v>0</v>
      </c>
      <c r="C66" s="1175">
        <f t="shared" si="2"/>
        <v>0</v>
      </c>
      <c r="D66" s="1176">
        <f t="shared" si="3"/>
        <v>0</v>
      </c>
      <c r="E66" s="1173">
        <f t="shared" si="4"/>
        <v>0</v>
      </c>
      <c r="F66" s="1171"/>
    </row>
    <row r="67" spans="1:6">
      <c r="A67" s="1177">
        <f t="shared" si="1"/>
        <v>0</v>
      </c>
      <c r="B67" s="1176">
        <f t="shared" si="5"/>
        <v>0</v>
      </c>
      <c r="C67" s="1175">
        <f t="shared" si="2"/>
        <v>0</v>
      </c>
      <c r="D67" s="1176">
        <f t="shared" si="3"/>
        <v>0</v>
      </c>
      <c r="E67" s="1173">
        <f t="shared" si="4"/>
        <v>0</v>
      </c>
      <c r="F67" s="1171"/>
    </row>
    <row r="68" spans="1:6">
      <c r="A68" s="1177">
        <f t="shared" si="1"/>
        <v>0</v>
      </c>
      <c r="B68" s="1176">
        <f t="shared" si="5"/>
        <v>0</v>
      </c>
      <c r="C68" s="1175">
        <f t="shared" si="2"/>
        <v>0</v>
      </c>
      <c r="D68" s="1176">
        <f t="shared" si="3"/>
        <v>0</v>
      </c>
      <c r="E68" s="1173">
        <f t="shared" si="4"/>
        <v>0</v>
      </c>
      <c r="F68" s="1171"/>
    </row>
    <row r="69" spans="1:6">
      <c r="A69" s="1177">
        <f t="shared" si="1"/>
        <v>0</v>
      </c>
      <c r="B69" s="1176">
        <f t="shared" si="5"/>
        <v>0</v>
      </c>
      <c r="C69" s="1175">
        <f t="shared" si="2"/>
        <v>0</v>
      </c>
      <c r="D69" s="1176">
        <f t="shared" si="3"/>
        <v>0</v>
      </c>
      <c r="E69" s="1173">
        <f t="shared" si="4"/>
        <v>0</v>
      </c>
      <c r="F69" s="1171"/>
    </row>
    <row r="70" spans="1:6">
      <c r="A70" s="1177">
        <f t="shared" si="1"/>
        <v>0</v>
      </c>
      <c r="B70" s="1176">
        <f t="shared" si="5"/>
        <v>0</v>
      </c>
      <c r="C70" s="1175">
        <f t="shared" si="2"/>
        <v>0</v>
      </c>
      <c r="D70" s="1176">
        <f t="shared" si="3"/>
        <v>0</v>
      </c>
      <c r="E70" s="1173">
        <f t="shared" si="4"/>
        <v>0</v>
      </c>
      <c r="F70" s="1171"/>
    </row>
    <row r="71" spans="1:6" ht="16.5" thickBot="1">
      <c r="A71" s="1177">
        <f t="shared" si="1"/>
        <v>0</v>
      </c>
      <c r="B71" s="1176">
        <f t="shared" si="5"/>
        <v>0</v>
      </c>
      <c r="C71" s="1175">
        <f t="shared" si="2"/>
        <v>0</v>
      </c>
      <c r="D71" s="1178">
        <f t="shared" si="3"/>
        <v>0</v>
      </c>
      <c r="E71" s="1173">
        <f t="shared" si="4"/>
        <v>0</v>
      </c>
      <c r="F71" s="1171"/>
    </row>
    <row r="72" spans="1:6" ht="16.5" thickBot="1">
      <c r="A72" s="1179" t="s">
        <v>1598</v>
      </c>
      <c r="B72" s="1179"/>
      <c r="C72" s="1179"/>
      <c r="D72" s="1180">
        <f>SUM(D51:D71)</f>
        <v>202006.25</v>
      </c>
      <c r="E72" s="1181">
        <f>SUM(E52:E71)</f>
        <v>31556</v>
      </c>
    </row>
    <row r="73" spans="1:6" ht="16.5" thickBot="1">
      <c r="A73" s="1179"/>
      <c r="B73" s="1179"/>
      <c r="C73" s="1179"/>
      <c r="D73" s="1179"/>
      <c r="E73" s="1179"/>
    </row>
    <row r="74" spans="1:6" ht="16.5" thickBot="1">
      <c r="A74" s="1179" t="s">
        <v>1599</v>
      </c>
      <c r="B74" s="1179"/>
      <c r="C74" s="1179"/>
      <c r="D74" s="1180">
        <f>B51</f>
        <v>125553</v>
      </c>
      <c r="E74" s="1179"/>
    </row>
    <row r="75" spans="1:6" ht="16.5" thickBot="1">
      <c r="A75" s="1179" t="s">
        <v>1600</v>
      </c>
      <c r="B75" s="1179"/>
      <c r="C75" s="1179"/>
      <c r="D75" s="1180">
        <f>E72</f>
        <v>31556</v>
      </c>
      <c r="E75" s="1179"/>
    </row>
    <row r="76" spans="1:6" ht="16.5" thickBot="1">
      <c r="A76" s="1179" t="s">
        <v>1601</v>
      </c>
      <c r="B76" s="1179"/>
      <c r="C76" s="1179"/>
      <c r="D76" s="1180">
        <f>D74-D75</f>
        <v>93997</v>
      </c>
      <c r="E76" s="1179"/>
    </row>
    <row r="77" spans="1:6">
      <c r="A77" s="1179"/>
      <c r="B77" s="1179"/>
      <c r="C77" s="1179"/>
      <c r="D77" s="1179"/>
      <c r="E77" s="1179"/>
    </row>
    <row r="78" spans="1:6">
      <c r="A78" s="1182"/>
      <c r="B78" s="1183" t="s">
        <v>1602</v>
      </c>
      <c r="C78" s="1183" t="s">
        <v>1603</v>
      </c>
      <c r="D78" s="1183" t="s">
        <v>1604</v>
      </c>
      <c r="E78" s="1179"/>
    </row>
    <row r="79" spans="1:6">
      <c r="A79" s="1182" t="s">
        <v>1605</v>
      </c>
      <c r="B79" s="1173">
        <f>B11</f>
        <v>1202234</v>
      </c>
      <c r="C79" s="1173">
        <f>B79+D74-D75</f>
        <v>1296231</v>
      </c>
      <c r="D79" s="1173">
        <f>C79-B79</f>
        <v>93997</v>
      </c>
      <c r="E79" s="1184"/>
    </row>
    <row r="80" spans="1:6">
      <c r="A80" s="1182" t="s">
        <v>1606</v>
      </c>
      <c r="B80" s="1173">
        <f>B79*(1-B14)</f>
        <v>1082008.2966529417</v>
      </c>
      <c r="C80" s="1185">
        <f>B80+D74-D75</f>
        <v>1176005.2966529417</v>
      </c>
      <c r="D80" s="1173">
        <f t="shared" ref="D80:D86" si="6">C80-B80</f>
        <v>93997</v>
      </c>
      <c r="E80" s="1179"/>
    </row>
    <row r="81" spans="1:6">
      <c r="A81" s="1182" t="s">
        <v>1585</v>
      </c>
      <c r="B81" s="1173">
        <f>+B15</f>
        <v>1080436</v>
      </c>
      <c r="C81" s="1173">
        <f>B81+D74-D75</f>
        <v>1174433</v>
      </c>
      <c r="D81" s="1173">
        <f t="shared" si="6"/>
        <v>93997</v>
      </c>
      <c r="E81" s="1179"/>
    </row>
    <row r="82" spans="1:6" ht="16.5" thickBot="1">
      <c r="A82" s="1186" t="s">
        <v>1586</v>
      </c>
      <c r="B82" s="1173">
        <f>+B16</f>
        <v>2174676.7046775408</v>
      </c>
      <c r="C82" s="1187">
        <f>B82+D72</f>
        <v>2376682.9546775408</v>
      </c>
      <c r="D82" s="1187">
        <f t="shared" si="6"/>
        <v>202006.25</v>
      </c>
      <c r="E82" s="1179"/>
    </row>
    <row r="83" spans="1:6" ht="16.5" thickBot="1">
      <c r="A83" s="1188" t="str">
        <f>HYPERLINK("http://en.wikipedia.org/wiki/Return_on_capital", "Return on invested capital (ROIC)")</f>
        <v>Return on invested capital (ROIC)</v>
      </c>
      <c r="B83" s="1189">
        <f>B80/B82</f>
        <v>0.49754903536954981</v>
      </c>
      <c r="C83" s="1190">
        <f>C80/C82</f>
        <v>0.49480949671408636</v>
      </c>
      <c r="D83" s="1189">
        <f t="shared" si="6"/>
        <v>-2.7395386554634471E-3</v>
      </c>
    </row>
    <row r="84" spans="1:6">
      <c r="A84" s="1191" t="s">
        <v>1607</v>
      </c>
      <c r="B84" s="1192">
        <f>+B17</f>
        <v>46558</v>
      </c>
      <c r="C84" s="1192">
        <f>B84+D74</f>
        <v>172111</v>
      </c>
      <c r="D84" s="1192">
        <f t="shared" si="6"/>
        <v>125553</v>
      </c>
    </row>
    <row r="85" spans="1:6">
      <c r="A85" s="1156" t="s">
        <v>1587</v>
      </c>
      <c r="B85" s="1192">
        <f>+B18</f>
        <v>142000</v>
      </c>
      <c r="C85" s="1173">
        <f>B85+D75</f>
        <v>173556</v>
      </c>
      <c r="D85" s="1173">
        <f t="shared" si="6"/>
        <v>31556</v>
      </c>
    </row>
    <row r="86" spans="1:6">
      <c r="A86" s="1182" t="s">
        <v>1608</v>
      </c>
      <c r="B86" s="1173">
        <f>B84-B85</f>
        <v>-95442</v>
      </c>
      <c r="C86" s="1173">
        <f>C84-C85</f>
        <v>-1445</v>
      </c>
      <c r="D86" s="1173">
        <f t="shared" si="6"/>
        <v>93997</v>
      </c>
    </row>
    <row r="87" spans="1:6">
      <c r="B87" s="1179"/>
      <c r="C87" s="1179"/>
    </row>
    <row r="88" spans="1:6">
      <c r="A88" s="1433" t="s">
        <v>1609</v>
      </c>
      <c r="B88" s="1433"/>
      <c r="C88" s="1433"/>
      <c r="D88" s="1433"/>
      <c r="E88" s="1433"/>
      <c r="F88" s="1433"/>
    </row>
    <row r="89" spans="1:6">
      <c r="A89" s="1433"/>
      <c r="B89" s="1433"/>
      <c r="C89" s="1433"/>
      <c r="D89" s="1433"/>
      <c r="E89" s="1433"/>
      <c r="F89" s="1433"/>
    </row>
    <row r="90" spans="1:6">
      <c r="A90" s="1433"/>
      <c r="B90" s="1433"/>
      <c r="C90" s="1433"/>
      <c r="D90" s="1433"/>
      <c r="E90" s="1433"/>
      <c r="F90" s="1433"/>
    </row>
    <row r="91" spans="1:6">
      <c r="A91" s="1433"/>
      <c r="B91" s="1433"/>
      <c r="C91" s="1433"/>
      <c r="D91" s="1433"/>
      <c r="E91" s="1433"/>
      <c r="F91" s="1433"/>
    </row>
  </sheetData>
  <mergeCells count="5">
    <mergeCell ref="A1:F1"/>
    <mergeCell ref="A3:F7"/>
    <mergeCell ref="A23:F24"/>
    <mergeCell ref="A88:F91"/>
    <mergeCell ref="C50:D50"/>
  </mergeCells>
  <conditionalFormatting sqref="B26:B45">
    <cfRule type="expression" dxfId="17" priority="8" stopIfTrue="1">
      <formula>AND(A26&lt;0)</formula>
    </cfRule>
  </conditionalFormatting>
  <conditionalFormatting sqref="D83">
    <cfRule type="cellIs" dxfId="16" priority="1" stopIfTrue="1" operator="lessThan">
      <formula>0</formula>
    </cfRule>
    <cfRule type="cellIs" dxfId="15" priority="2" stopIfTrue="1" operator="greaterThan">
      <formula>0</formula>
    </cfRule>
  </conditionalFormatting>
  <hyperlinks>
    <hyperlink ref="A20" location="'Residual Lives Assets'!A1" display="Years to amortize R&amp;D expenses" xr:uid="{00000000-0004-0000-2600-000000000000}"/>
  </hyperlink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pageSetUpPr fitToPage="1"/>
  </sheetPr>
  <dimension ref="A1:AP74"/>
  <sheetViews>
    <sheetView showGridLines="0" topLeftCell="A57" workbookViewId="0">
      <selection activeCell="D74" sqref="D74"/>
    </sheetView>
  </sheetViews>
  <sheetFormatPr defaultColWidth="8.85546875" defaultRowHeight="15"/>
  <cols>
    <col min="1" max="1" width="35.140625" style="7" customWidth="1"/>
    <col min="2" max="2" width="20.42578125" style="7" hidden="1" customWidth="1"/>
    <col min="3" max="3" width="12" style="7" bestFit="1" customWidth="1"/>
    <col min="4" max="4" width="12.42578125" style="7" bestFit="1" customWidth="1"/>
    <col min="5" max="5" width="13" style="7" bestFit="1" customWidth="1"/>
    <col min="6" max="6" width="13.28515625" style="7" bestFit="1" customWidth="1"/>
    <col min="7" max="7" width="14.140625" style="7" bestFit="1" customWidth="1"/>
    <col min="8" max="42" width="8.85546875" style="14"/>
    <col min="43" max="16384" width="8.85546875" style="13"/>
  </cols>
  <sheetData>
    <row r="1" spans="1:42" ht="18.75">
      <c r="A1" s="1324" t="s">
        <v>736</v>
      </c>
      <c r="B1" s="1325"/>
      <c r="C1" s="1325"/>
      <c r="F1" s="10"/>
      <c r="G1" s="10"/>
    </row>
    <row r="2" spans="1:42" ht="15.75" thickBot="1">
      <c r="A2" s="665"/>
      <c r="B2" s="639"/>
      <c r="C2" s="639"/>
      <c r="D2" s="639"/>
      <c r="E2" s="639"/>
      <c r="F2" s="639"/>
      <c r="G2" s="639"/>
    </row>
    <row r="3" spans="1:42" ht="15" customHeight="1">
      <c r="A3" s="675" t="s">
        <v>726</v>
      </c>
      <c r="B3" s="650" t="s">
        <v>1324</v>
      </c>
      <c r="C3" s="663" t="s">
        <v>728</v>
      </c>
      <c r="D3" s="663" t="s">
        <v>727</v>
      </c>
      <c r="E3" s="683" t="s">
        <v>1317</v>
      </c>
      <c r="F3" s="663" t="s">
        <v>1318</v>
      </c>
      <c r="G3" s="663" t="s">
        <v>372</v>
      </c>
    </row>
    <row r="4" spans="1:42" s="14" customFormat="1" ht="15" customHeight="1">
      <c r="A4" s="676"/>
      <c r="B4" s="342"/>
      <c r="C4" s="664"/>
      <c r="D4" s="664"/>
      <c r="E4" s="684"/>
      <c r="F4" s="664"/>
      <c r="G4" s="664"/>
    </row>
    <row r="5" spans="1:42" s="424" customFormat="1">
      <c r="A5" s="972" t="s">
        <v>768</v>
      </c>
      <c r="B5" s="973"/>
      <c r="C5" s="974"/>
      <c r="D5" s="974"/>
      <c r="E5" s="974"/>
      <c r="F5" s="974"/>
      <c r="G5" s="97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row>
    <row r="6" spans="1:42" s="963" customFormat="1">
      <c r="A6" s="960" t="s">
        <v>743</v>
      </c>
      <c r="B6" s="961"/>
      <c r="C6" s="962"/>
      <c r="D6" s="962"/>
      <c r="E6" s="962"/>
      <c r="F6" s="962"/>
      <c r="G6" s="962"/>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row>
    <row r="7" spans="1:42" s="14" customFormat="1" ht="13.5" customHeight="1">
      <c r="A7" s="677" t="s">
        <v>749</v>
      </c>
      <c r="B7" s="666">
        <v>0</v>
      </c>
      <c r="C7" s="966">
        <f>245000-24500</f>
        <v>220500</v>
      </c>
      <c r="D7" s="966">
        <f>245000-73500</f>
        <v>171500</v>
      </c>
      <c r="E7" s="966">
        <f>391000-151700</f>
        <v>239300</v>
      </c>
      <c r="F7" s="966">
        <f>524000-256500</f>
        <v>267500</v>
      </c>
      <c r="G7" s="966">
        <f>710000-398500</f>
        <v>311500</v>
      </c>
    </row>
    <row r="8" spans="1:42" s="14" customFormat="1" ht="13.5" customHeight="1">
      <c r="A8" s="677" t="s">
        <v>742</v>
      </c>
      <c r="B8" s="666">
        <v>0</v>
      </c>
      <c r="C8" s="966"/>
      <c r="D8" s="966"/>
      <c r="E8" s="966"/>
      <c r="F8" s="966"/>
      <c r="G8" s="966"/>
    </row>
    <row r="9" spans="1:42" s="14" customFormat="1">
      <c r="A9" s="678" t="s">
        <v>748</v>
      </c>
      <c r="B9" s="666">
        <v>0</v>
      </c>
      <c r="C9" s="966">
        <v>69</v>
      </c>
      <c r="D9" s="966">
        <v>421</v>
      </c>
      <c r="E9" s="966">
        <v>1869</v>
      </c>
      <c r="F9" s="966">
        <v>2862</v>
      </c>
      <c r="G9" s="966">
        <v>5420</v>
      </c>
    </row>
    <row r="10" spans="1:42" s="14" customFormat="1">
      <c r="A10" s="678" t="s">
        <v>769</v>
      </c>
      <c r="B10" s="666">
        <v>0</v>
      </c>
      <c r="C10" s="966"/>
      <c r="D10" s="966"/>
      <c r="E10" s="966"/>
      <c r="F10" s="966"/>
      <c r="G10" s="966"/>
    </row>
    <row r="11" spans="1:42" s="424" customFormat="1" ht="12.75">
      <c r="A11" s="965" t="s">
        <v>741</v>
      </c>
      <c r="B11" s="964">
        <f t="shared" ref="B11:G11" si="0">SUM(B7:B10)</f>
        <v>0</v>
      </c>
      <c r="C11" s="967">
        <f t="shared" si="0"/>
        <v>220569</v>
      </c>
      <c r="D11" s="967">
        <f t="shared" si="0"/>
        <v>171921</v>
      </c>
      <c r="E11" s="967">
        <f t="shared" si="0"/>
        <v>241169</v>
      </c>
      <c r="F11" s="967">
        <f t="shared" si="0"/>
        <v>270362</v>
      </c>
      <c r="G11" s="967">
        <f t="shared" si="0"/>
        <v>316920</v>
      </c>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row>
    <row r="12" spans="1:42">
      <c r="A12" s="678"/>
      <c r="B12" s="668"/>
      <c r="C12" s="968"/>
      <c r="D12" s="968"/>
      <c r="E12" s="968"/>
      <c r="F12" s="968"/>
      <c r="G12" s="968"/>
    </row>
    <row r="13" spans="1:42" s="963" customFormat="1">
      <c r="A13" s="1025" t="s">
        <v>744</v>
      </c>
      <c r="B13" s="961"/>
      <c r="C13" s="969"/>
      <c r="D13" s="969"/>
      <c r="E13" s="969"/>
      <c r="F13" s="969"/>
      <c r="G13" s="969"/>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row>
    <row r="14" spans="1:42" s="424" customFormat="1" ht="12.75">
      <c r="A14" s="965" t="s">
        <v>741</v>
      </c>
      <c r="B14" s="964">
        <v>0</v>
      </c>
      <c r="C14" s="967">
        <v>0</v>
      </c>
      <c r="D14" s="967">
        <v>0</v>
      </c>
      <c r="E14" s="967">
        <v>0</v>
      </c>
      <c r="F14" s="967">
        <v>0</v>
      </c>
      <c r="G14" s="967">
        <v>0</v>
      </c>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row>
    <row r="15" spans="1:42">
      <c r="A15" s="678"/>
      <c r="B15" s="668"/>
      <c r="C15" s="968"/>
      <c r="D15" s="968"/>
      <c r="E15" s="968"/>
      <c r="F15" s="968"/>
      <c r="G15" s="968"/>
    </row>
    <row r="16" spans="1:42" ht="12.75">
      <c r="A16" s="975" t="s">
        <v>738</v>
      </c>
      <c r="B16" s="667">
        <v>0</v>
      </c>
      <c r="C16" s="970">
        <f>C11+C14</f>
        <v>220569</v>
      </c>
      <c r="D16" s="970">
        <f>D11+D14</f>
        <v>171921</v>
      </c>
      <c r="E16" s="970">
        <f>E11+E14</f>
        <v>241169</v>
      </c>
      <c r="F16" s="970">
        <f>F11+F14</f>
        <v>270362</v>
      </c>
      <c r="G16" s="970">
        <f>G11+G14</f>
        <v>316920</v>
      </c>
    </row>
    <row r="17" spans="1:42">
      <c r="A17" s="678"/>
      <c r="B17" s="651"/>
      <c r="C17" s="966"/>
      <c r="D17" s="966"/>
      <c r="E17" s="966"/>
      <c r="F17" s="966"/>
      <c r="G17" s="966"/>
    </row>
    <row r="18" spans="1:42" s="424" customFormat="1">
      <c r="A18" s="972" t="s">
        <v>766</v>
      </c>
      <c r="B18" s="973"/>
      <c r="C18" s="974"/>
      <c r="D18" s="974"/>
      <c r="E18" s="974"/>
      <c r="F18" s="974"/>
      <c r="G18" s="97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row>
    <row r="19" spans="1:42" s="963" customFormat="1">
      <c r="A19" s="1025" t="s">
        <v>750</v>
      </c>
      <c r="B19" s="961"/>
      <c r="C19" s="969"/>
      <c r="D19" s="969"/>
      <c r="E19" s="969"/>
      <c r="F19" s="969"/>
      <c r="G19" s="969"/>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row>
    <row r="20" spans="1:42" s="424" customFormat="1" ht="12.75">
      <c r="A20" s="965" t="s">
        <v>741</v>
      </c>
      <c r="B20" s="964">
        <v>0</v>
      </c>
      <c r="C20" s="967">
        <v>0</v>
      </c>
      <c r="D20" s="967">
        <v>0</v>
      </c>
      <c r="E20" s="967">
        <v>0</v>
      </c>
      <c r="F20" s="967">
        <v>0</v>
      </c>
      <c r="G20" s="967">
        <v>0</v>
      </c>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row>
    <row r="21" spans="1:42">
      <c r="A21" s="678"/>
      <c r="B21" s="651"/>
      <c r="C21" s="966"/>
      <c r="D21" s="966"/>
      <c r="E21" s="966"/>
      <c r="F21" s="966"/>
      <c r="G21" s="966"/>
    </row>
    <row r="22" spans="1:42" s="963" customFormat="1">
      <c r="A22" s="1025" t="s">
        <v>751</v>
      </c>
      <c r="B22" s="961"/>
      <c r="C22" s="969"/>
      <c r="D22" s="969"/>
      <c r="E22" s="969"/>
      <c r="F22" s="969"/>
      <c r="G22" s="969"/>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row>
    <row r="23" spans="1:42" s="14" customFormat="1" ht="15" customHeight="1">
      <c r="A23" s="678" t="s">
        <v>752</v>
      </c>
      <c r="B23" s="669">
        <v>0</v>
      </c>
      <c r="C23" s="968">
        <v>0</v>
      </c>
      <c r="D23" s="968">
        <v>0</v>
      </c>
      <c r="E23" s="968">
        <v>0</v>
      </c>
      <c r="F23" s="968">
        <v>0</v>
      </c>
      <c r="G23" s="968">
        <v>0</v>
      </c>
    </row>
    <row r="24" spans="1:42" s="14" customFormat="1">
      <c r="A24" s="680" t="s">
        <v>1213</v>
      </c>
      <c r="B24" s="669">
        <v>0</v>
      </c>
      <c r="C24" s="968"/>
      <c r="D24" s="966"/>
      <c r="E24" s="968"/>
      <c r="F24" s="968"/>
      <c r="G24" s="968"/>
    </row>
    <row r="25" spans="1:42" s="14" customFormat="1">
      <c r="A25" s="681" t="s">
        <v>1214</v>
      </c>
      <c r="B25" s="666">
        <v>0</v>
      </c>
      <c r="C25" s="968">
        <v>456</v>
      </c>
      <c r="D25" s="968">
        <v>2736</v>
      </c>
      <c r="E25" s="968">
        <v>12406</v>
      </c>
      <c r="F25" s="968">
        <v>17493</v>
      </c>
      <c r="G25" s="968">
        <v>28029</v>
      </c>
    </row>
    <row r="26" spans="1:42" s="14" customFormat="1">
      <c r="A26" s="681" t="s">
        <v>1215</v>
      </c>
      <c r="B26" s="666">
        <v>0</v>
      </c>
      <c r="C26" s="968">
        <v>0</v>
      </c>
      <c r="D26" s="968">
        <v>0</v>
      </c>
      <c r="E26" s="968">
        <v>0</v>
      </c>
      <c r="F26" s="968">
        <v>0</v>
      </c>
      <c r="G26" s="968">
        <v>0</v>
      </c>
    </row>
    <row r="27" spans="1:42" s="14" customFormat="1">
      <c r="A27" s="681" t="s">
        <v>1216</v>
      </c>
      <c r="B27" s="669">
        <v>0</v>
      </c>
      <c r="C27" s="968">
        <v>0</v>
      </c>
      <c r="D27" s="968">
        <v>0</v>
      </c>
      <c r="E27" s="968">
        <v>0</v>
      </c>
      <c r="F27" s="968">
        <v>0</v>
      </c>
      <c r="G27" s="968">
        <v>0</v>
      </c>
    </row>
    <row r="28" spans="1:42" s="14" customFormat="1">
      <c r="A28" s="678" t="s">
        <v>753</v>
      </c>
      <c r="B28" s="666">
        <v>0</v>
      </c>
      <c r="C28" s="968">
        <v>56821</v>
      </c>
      <c r="D28" s="968">
        <v>21430</v>
      </c>
      <c r="E28" s="968">
        <v>0</v>
      </c>
      <c r="F28" s="968">
        <v>0</v>
      </c>
      <c r="G28" s="968">
        <v>0</v>
      </c>
    </row>
    <row r="29" spans="1:42" s="14" customFormat="1">
      <c r="A29" s="678" t="s">
        <v>754</v>
      </c>
      <c r="B29" s="669">
        <v>0</v>
      </c>
      <c r="C29" s="968">
        <v>0</v>
      </c>
      <c r="D29" s="968">
        <v>0</v>
      </c>
      <c r="E29" s="968">
        <v>0</v>
      </c>
      <c r="F29" s="968">
        <v>0</v>
      </c>
      <c r="G29" s="968">
        <v>0</v>
      </c>
    </row>
    <row r="30" spans="1:42" s="424" customFormat="1" ht="12.75">
      <c r="A30" s="965" t="s">
        <v>741</v>
      </c>
      <c r="B30" s="964">
        <f t="shared" ref="B30:G30" si="1">SUM(B23:B29)</f>
        <v>0</v>
      </c>
      <c r="C30" s="967">
        <f>SUM(C23:C29)</f>
        <v>57277</v>
      </c>
      <c r="D30" s="967">
        <f t="shared" si="1"/>
        <v>24166</v>
      </c>
      <c r="E30" s="967">
        <f t="shared" si="1"/>
        <v>12406</v>
      </c>
      <c r="F30" s="967">
        <f t="shared" si="1"/>
        <v>17493</v>
      </c>
      <c r="G30" s="967">
        <f t="shared" si="1"/>
        <v>28029</v>
      </c>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row>
    <row r="31" spans="1:42">
      <c r="A31" s="678"/>
      <c r="B31" s="651"/>
      <c r="C31" s="966"/>
      <c r="D31" s="966"/>
      <c r="E31" s="966"/>
      <c r="F31" s="966"/>
      <c r="G31" s="966"/>
    </row>
    <row r="32" spans="1:42" s="963" customFormat="1">
      <c r="A32" s="1025" t="s">
        <v>755</v>
      </c>
      <c r="B32" s="961"/>
      <c r="C32" s="969"/>
      <c r="D32" s="969"/>
      <c r="E32" s="969"/>
      <c r="F32" s="969"/>
      <c r="G32" s="969"/>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row>
    <row r="33" spans="1:42">
      <c r="A33" s="678" t="s">
        <v>756</v>
      </c>
      <c r="B33" s="666">
        <v>0</v>
      </c>
      <c r="C33" s="968"/>
      <c r="D33" s="968">
        <v>49996.750399999997</v>
      </c>
      <c r="E33" s="968">
        <v>441684.50079999998</v>
      </c>
      <c r="F33" s="968">
        <v>950908.25120000006</v>
      </c>
      <c r="G33" s="968">
        <v>2024795.0016000001</v>
      </c>
    </row>
    <row r="34" spans="1:42" s="424" customFormat="1" ht="12.75">
      <c r="A34" s="965" t="s">
        <v>741</v>
      </c>
      <c r="B34" s="964">
        <f t="shared" ref="B34:G34" si="2">SUM(B33:B33)</f>
        <v>0</v>
      </c>
      <c r="C34" s="967">
        <f t="shared" si="2"/>
        <v>0</v>
      </c>
      <c r="D34" s="967">
        <f t="shared" si="2"/>
        <v>49996.750399999997</v>
      </c>
      <c r="E34" s="967">
        <f t="shared" si="2"/>
        <v>441684.50079999998</v>
      </c>
      <c r="F34" s="967">
        <f t="shared" si="2"/>
        <v>950908.25120000006</v>
      </c>
      <c r="G34" s="967">
        <f t="shared" si="2"/>
        <v>2024795.0016000001</v>
      </c>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row>
    <row r="35" spans="1:42">
      <c r="A35" s="678"/>
      <c r="B35" s="651"/>
      <c r="C35" s="966"/>
      <c r="D35" s="966"/>
      <c r="E35" s="966"/>
      <c r="F35" s="966"/>
      <c r="G35" s="966"/>
    </row>
    <row r="36" spans="1:42" s="963" customFormat="1" ht="25.5">
      <c r="A36" s="1025" t="s">
        <v>757</v>
      </c>
      <c r="B36" s="961"/>
      <c r="C36" s="969"/>
      <c r="D36" s="969"/>
      <c r="E36" s="969"/>
      <c r="F36" s="969"/>
      <c r="G36" s="969"/>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row>
    <row r="37" spans="1:42" s="424" customFormat="1" ht="12.75">
      <c r="A37" s="965" t="s">
        <v>741</v>
      </c>
      <c r="B37" s="964">
        <v>0</v>
      </c>
      <c r="C37" s="967"/>
      <c r="D37" s="967"/>
      <c r="E37" s="967"/>
      <c r="F37" s="967"/>
      <c r="G37" s="967"/>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row>
    <row r="38" spans="1:42" ht="12.75">
      <c r="A38" s="1026"/>
      <c r="B38" s="14"/>
      <c r="C38" s="703"/>
      <c r="D38" s="703"/>
      <c r="E38" s="703"/>
      <c r="F38" s="703"/>
      <c r="G38" s="703"/>
    </row>
    <row r="39" spans="1:42" ht="12.75">
      <c r="A39" s="975" t="s">
        <v>737</v>
      </c>
      <c r="B39" s="667">
        <f t="shared" ref="B39:G39" si="3">B20+B30+B34+B37</f>
        <v>0</v>
      </c>
      <c r="C39" s="970">
        <f t="shared" si="3"/>
        <v>57277</v>
      </c>
      <c r="D39" s="970">
        <f t="shared" si="3"/>
        <v>74162.75039999999</v>
      </c>
      <c r="E39" s="970">
        <f t="shared" si="3"/>
        <v>454090.50079999998</v>
      </c>
      <c r="F39" s="970">
        <f t="shared" si="3"/>
        <v>968401.25120000006</v>
      </c>
      <c r="G39" s="970">
        <f t="shared" si="3"/>
        <v>2052824.0016000001</v>
      </c>
    </row>
    <row r="40" spans="1:42">
      <c r="A40" s="678"/>
      <c r="B40" s="651"/>
      <c r="C40" s="966"/>
      <c r="D40" s="966"/>
      <c r="E40" s="966"/>
      <c r="F40" s="966"/>
      <c r="G40" s="966"/>
    </row>
    <row r="41" spans="1:42" ht="15.75" thickBot="1">
      <c r="A41" s="1027" t="s">
        <v>739</v>
      </c>
      <c r="B41" s="670">
        <f t="shared" ref="B41:G41" si="4">B39+B16</f>
        <v>0</v>
      </c>
      <c r="C41" s="971">
        <f t="shared" si="4"/>
        <v>277846</v>
      </c>
      <c r="D41" s="971">
        <f t="shared" si="4"/>
        <v>246083.75039999999</v>
      </c>
      <c r="E41" s="971">
        <f t="shared" si="4"/>
        <v>695259.50080000004</v>
      </c>
      <c r="F41" s="971">
        <f t="shared" si="4"/>
        <v>1238763.2512000001</v>
      </c>
      <c r="G41" s="971">
        <f t="shared" si="4"/>
        <v>2369744.0016000001</v>
      </c>
    </row>
    <row r="42" spans="1:42">
      <c r="A42" s="1028"/>
      <c r="B42" s="671"/>
      <c r="C42" s="635"/>
      <c r="D42" s="635"/>
      <c r="E42" s="635"/>
      <c r="F42" s="635"/>
      <c r="G42" s="635"/>
    </row>
    <row r="43" spans="1:42" ht="15.75" thickBot="1">
      <c r="A43" s="1029"/>
      <c r="B43" s="639"/>
      <c r="C43" s="638"/>
      <c r="D43" s="638"/>
      <c r="E43" s="638"/>
      <c r="F43" s="638"/>
      <c r="G43" s="638"/>
    </row>
    <row r="44" spans="1:42" ht="37.5">
      <c r="A44" s="1030" t="s">
        <v>758</v>
      </c>
      <c r="B44" s="650"/>
      <c r="C44" s="663" t="s">
        <v>728</v>
      </c>
      <c r="D44" s="663" t="s">
        <v>727</v>
      </c>
      <c r="E44" s="683" t="s">
        <v>1317</v>
      </c>
      <c r="F44" s="663" t="s">
        <v>1318</v>
      </c>
      <c r="G44" s="663" t="s">
        <v>372</v>
      </c>
    </row>
    <row r="45" spans="1:42" s="14" customFormat="1" ht="18.75">
      <c r="A45" s="1031"/>
      <c r="B45" s="342"/>
      <c r="C45" s="664"/>
      <c r="D45" s="664"/>
      <c r="E45" s="684"/>
      <c r="F45" s="664"/>
      <c r="G45" s="664"/>
    </row>
    <row r="46" spans="1:42">
      <c r="A46" s="1032" t="s">
        <v>759</v>
      </c>
      <c r="B46" s="685"/>
      <c r="C46" s="687"/>
      <c r="D46" s="687"/>
      <c r="E46" s="687"/>
      <c r="F46" s="687"/>
      <c r="G46" s="687"/>
    </row>
    <row r="47" spans="1:42" s="14" customFormat="1">
      <c r="A47" s="678" t="s">
        <v>729</v>
      </c>
      <c r="B47" s="672">
        <v>0</v>
      </c>
      <c r="C47" s="980">
        <v>10000</v>
      </c>
      <c r="D47" s="980">
        <v>10000</v>
      </c>
      <c r="E47" s="980">
        <v>10000</v>
      </c>
      <c r="F47" s="980">
        <v>10000</v>
      </c>
      <c r="G47" s="980">
        <v>10000</v>
      </c>
    </row>
    <row r="48" spans="1:42" s="14" customFormat="1">
      <c r="A48" s="978" t="s">
        <v>888</v>
      </c>
      <c r="B48" s="672">
        <v>0</v>
      </c>
      <c r="C48" s="980"/>
      <c r="D48" s="980"/>
      <c r="E48" s="980"/>
      <c r="F48" s="980"/>
      <c r="G48" s="980"/>
    </row>
    <row r="49" spans="1:7">
      <c r="A49" s="678" t="s">
        <v>760</v>
      </c>
      <c r="B49" s="672">
        <v>0</v>
      </c>
      <c r="C49" s="980">
        <v>130000</v>
      </c>
      <c r="D49" s="980">
        <f>C49+C52</f>
        <v>65836</v>
      </c>
      <c r="E49" s="980">
        <f>D49+D52</f>
        <v>64627.15</v>
      </c>
      <c r="F49" s="980">
        <f>E49+E52</f>
        <v>478376.15</v>
      </c>
      <c r="G49" s="980">
        <f>F49+F52</f>
        <v>1042153.15</v>
      </c>
    </row>
    <row r="50" spans="1:7">
      <c r="A50" s="678" t="s">
        <v>761</v>
      </c>
      <c r="B50" s="672">
        <v>0</v>
      </c>
      <c r="C50" s="980"/>
      <c r="D50" s="980"/>
      <c r="E50" s="980"/>
      <c r="F50" s="980"/>
      <c r="G50" s="980"/>
    </row>
    <row r="51" spans="1:7" ht="30">
      <c r="A51" s="979" t="s">
        <v>1159</v>
      </c>
      <c r="B51" s="672"/>
      <c r="C51" s="980"/>
      <c r="D51" s="980"/>
      <c r="E51" s="980"/>
      <c r="F51" s="980"/>
      <c r="G51" s="980"/>
    </row>
    <row r="52" spans="1:7">
      <c r="A52" s="678" t="s">
        <v>762</v>
      </c>
      <c r="B52" s="673">
        <v>0</v>
      </c>
      <c r="C52" s="980">
        <f>'Income Statement'!C60</f>
        <v>-64164</v>
      </c>
      <c r="D52" s="980">
        <f>'Income Statement'!D60</f>
        <v>-1208.8500000000004</v>
      </c>
      <c r="E52" s="980">
        <f>'Income Statement'!E60</f>
        <v>413749</v>
      </c>
      <c r="F52" s="980">
        <f>'Income Statement'!F60</f>
        <v>563777</v>
      </c>
      <c r="G52" s="980">
        <f>'Income Statement'!G60</f>
        <v>1080436</v>
      </c>
    </row>
    <row r="53" spans="1:7" s="977" customFormat="1" ht="12.75">
      <c r="A53" s="1033" t="s">
        <v>741</v>
      </c>
      <c r="B53" s="976">
        <f t="shared" ref="B53:G53" si="5">SUM(B47:B52)</f>
        <v>0</v>
      </c>
      <c r="C53" s="981">
        <f t="shared" si="5"/>
        <v>75836</v>
      </c>
      <c r="D53" s="981">
        <f t="shared" si="5"/>
        <v>74627.149999999994</v>
      </c>
      <c r="E53" s="981">
        <f>SUM(E47:E52)</f>
        <v>488376.15</v>
      </c>
      <c r="F53" s="981">
        <f t="shared" si="5"/>
        <v>1052153.1499999999</v>
      </c>
      <c r="G53" s="981">
        <f t="shared" si="5"/>
        <v>2132589.15</v>
      </c>
    </row>
    <row r="54" spans="1:7">
      <c r="A54" s="1034"/>
      <c r="B54" s="651"/>
      <c r="C54" s="982"/>
      <c r="D54" s="982"/>
      <c r="E54" s="982"/>
      <c r="F54" s="982"/>
      <c r="G54" s="982"/>
    </row>
    <row r="55" spans="1:7">
      <c r="A55" s="1032" t="s">
        <v>763</v>
      </c>
      <c r="B55" s="685"/>
      <c r="C55" s="983"/>
      <c r="D55" s="983"/>
      <c r="E55" s="983"/>
      <c r="F55" s="983"/>
      <c r="G55" s="983"/>
    </row>
    <row r="56" spans="1:7" s="977" customFormat="1" ht="12.75">
      <c r="A56" s="1033" t="s">
        <v>741</v>
      </c>
      <c r="B56" s="976">
        <v>0</v>
      </c>
      <c r="C56" s="981">
        <v>926</v>
      </c>
      <c r="D56" s="981">
        <v>7222</v>
      </c>
      <c r="E56" s="981">
        <v>24259</v>
      </c>
      <c r="F56" s="981">
        <v>48556</v>
      </c>
      <c r="G56" s="981">
        <v>81889</v>
      </c>
    </row>
    <row r="57" spans="1:7">
      <c r="A57" s="678"/>
      <c r="B57" s="651"/>
      <c r="C57" s="982"/>
      <c r="D57" s="982"/>
      <c r="E57" s="982"/>
      <c r="F57" s="982"/>
      <c r="G57" s="982"/>
    </row>
    <row r="58" spans="1:7" ht="30">
      <c r="A58" s="1032" t="s">
        <v>747</v>
      </c>
      <c r="B58" s="685"/>
      <c r="C58" s="983"/>
      <c r="D58" s="983"/>
      <c r="E58" s="983"/>
      <c r="F58" s="983"/>
      <c r="G58" s="983"/>
    </row>
    <row r="59" spans="1:7" s="977" customFormat="1" ht="12.75">
      <c r="A59" s="1033" t="s">
        <v>741</v>
      </c>
      <c r="B59" s="976">
        <v>0</v>
      </c>
      <c r="C59" s="981">
        <v>0</v>
      </c>
      <c r="D59" s="981">
        <v>0</v>
      </c>
      <c r="E59" s="981">
        <v>0</v>
      </c>
      <c r="F59" s="981">
        <v>0</v>
      </c>
      <c r="G59" s="981">
        <v>0</v>
      </c>
    </row>
    <row r="60" spans="1:7">
      <c r="A60" s="678"/>
      <c r="B60" s="651"/>
      <c r="C60" s="982"/>
      <c r="D60" s="982"/>
      <c r="E60" s="982"/>
      <c r="F60" s="982"/>
      <c r="G60" s="982"/>
    </row>
    <row r="61" spans="1:7">
      <c r="A61" s="1032" t="s">
        <v>764</v>
      </c>
      <c r="B61" s="685"/>
      <c r="C61" s="983"/>
      <c r="D61" s="983"/>
      <c r="E61" s="983"/>
      <c r="F61" s="983"/>
      <c r="G61" s="983"/>
    </row>
    <row r="62" spans="1:7">
      <c r="A62" s="986" t="s">
        <v>385</v>
      </c>
      <c r="B62" s="672">
        <v>0</v>
      </c>
      <c r="C62" s="980">
        <v>200802</v>
      </c>
      <c r="D62" s="1274">
        <f>'Loan repayment schedule'!E15</f>
        <v>162523.59201019825</v>
      </c>
      <c r="E62" s="1274">
        <f>'Loan repayment schedule'!E16</f>
        <v>123326.50222864126</v>
      </c>
      <c r="F62" s="1274">
        <f>'Loan repayment schedule'!E17</f>
        <v>83188.682292326892</v>
      </c>
      <c r="G62" s="1274">
        <f>'Loan repayment schedule'!E18</f>
        <v>42087.554677540989</v>
      </c>
    </row>
    <row r="63" spans="1:7">
      <c r="A63" s="678" t="s">
        <v>765</v>
      </c>
      <c r="B63" s="672">
        <v>0</v>
      </c>
      <c r="C63" s="980">
        <v>282</v>
      </c>
      <c r="D63" s="980">
        <v>1711</v>
      </c>
      <c r="E63" s="980">
        <v>7600</v>
      </c>
      <c r="F63" s="980">
        <v>11637</v>
      </c>
      <c r="G63" s="980">
        <v>22402</v>
      </c>
    </row>
    <row r="64" spans="1:7">
      <c r="A64" s="678" t="s">
        <v>730</v>
      </c>
      <c r="B64" s="672">
        <v>0</v>
      </c>
      <c r="C64" s="980">
        <v>0</v>
      </c>
      <c r="D64" s="980">
        <v>0</v>
      </c>
      <c r="E64" s="980">
        <f>12481+39217</f>
        <v>51698</v>
      </c>
      <c r="F64" s="980">
        <f>18517+24711</f>
        <v>43228</v>
      </c>
      <c r="G64" s="980">
        <f>31594+59182</f>
        <v>90776</v>
      </c>
    </row>
    <row r="65" spans="1:7">
      <c r="A65" s="678" t="s">
        <v>731</v>
      </c>
      <c r="B65" s="672">
        <v>0</v>
      </c>
      <c r="C65" s="980">
        <v>0</v>
      </c>
      <c r="D65" s="980">
        <v>0</v>
      </c>
      <c r="E65" s="980">
        <v>0</v>
      </c>
      <c r="F65" s="980">
        <v>0</v>
      </c>
      <c r="G65" s="980">
        <v>0</v>
      </c>
    </row>
    <row r="66" spans="1:7" s="977" customFormat="1" ht="12.75">
      <c r="A66" s="1033" t="s">
        <v>741</v>
      </c>
      <c r="B66" s="976">
        <f t="shared" ref="B66:G66" si="6">SUM(B62:B65)</f>
        <v>0</v>
      </c>
      <c r="C66" s="981">
        <f t="shared" si="6"/>
        <v>201084</v>
      </c>
      <c r="D66" s="981">
        <f t="shared" si="6"/>
        <v>164234.59201019825</v>
      </c>
      <c r="E66" s="981">
        <f t="shared" si="6"/>
        <v>182624.50222864124</v>
      </c>
      <c r="F66" s="981">
        <f t="shared" si="6"/>
        <v>138053.68229232688</v>
      </c>
      <c r="G66" s="981">
        <f t="shared" si="6"/>
        <v>155265.55467754099</v>
      </c>
    </row>
    <row r="67" spans="1:7">
      <c r="A67" s="678"/>
      <c r="B67" s="651"/>
      <c r="C67" s="982"/>
      <c r="D67" s="982"/>
      <c r="E67" s="982"/>
      <c r="F67" s="982"/>
      <c r="G67" s="982"/>
    </row>
    <row r="68" spans="1:7">
      <c r="A68" s="1032" t="s">
        <v>767</v>
      </c>
      <c r="B68" s="685"/>
      <c r="C68" s="983"/>
      <c r="D68" s="983"/>
      <c r="E68" s="983"/>
      <c r="F68" s="983"/>
      <c r="G68" s="983"/>
    </row>
    <row r="69" spans="1:7" s="977" customFormat="1" ht="12.75">
      <c r="A69" s="1033" t="s">
        <v>741</v>
      </c>
      <c r="B69" s="976">
        <v>0</v>
      </c>
      <c r="C69" s="981">
        <v>0</v>
      </c>
      <c r="D69" s="981">
        <v>0</v>
      </c>
      <c r="E69" s="981">
        <v>0</v>
      </c>
      <c r="F69" s="981">
        <v>0</v>
      </c>
      <c r="G69" s="981">
        <v>0</v>
      </c>
    </row>
    <row r="70" spans="1:7">
      <c r="A70" s="686"/>
      <c r="B70" s="652"/>
      <c r="C70" s="984"/>
      <c r="D70" s="987"/>
      <c r="E70" s="984"/>
      <c r="F70" s="984"/>
      <c r="G70" s="984"/>
    </row>
    <row r="71" spans="1:7" ht="15.75" thickBot="1">
      <c r="A71" s="1027" t="s">
        <v>740</v>
      </c>
      <c r="B71" s="670">
        <f t="shared" ref="B71:G71" si="7">B53+B56+B59+B66</f>
        <v>0</v>
      </c>
      <c r="C71" s="985">
        <f t="shared" si="7"/>
        <v>277846</v>
      </c>
      <c r="D71" s="985">
        <f t="shared" si="7"/>
        <v>246083.74201019824</v>
      </c>
      <c r="E71" s="985">
        <f t="shared" si="7"/>
        <v>695259.65222864132</v>
      </c>
      <c r="F71" s="985">
        <f t="shared" si="7"/>
        <v>1238762.8322923267</v>
      </c>
      <c r="G71" s="985">
        <f t="shared" si="7"/>
        <v>2369743.7046775408</v>
      </c>
    </row>
    <row r="72" spans="1:7">
      <c r="A72" s="653"/>
      <c r="B72" s="654"/>
      <c r="C72" s="655"/>
      <c r="D72" s="656"/>
      <c r="E72" s="655"/>
      <c r="F72" s="655"/>
      <c r="G72" s="655"/>
    </row>
    <row r="73" spans="1:7">
      <c r="C73" s="341"/>
      <c r="D73" s="341"/>
      <c r="E73" s="341"/>
      <c r="F73" s="341"/>
      <c r="G73" s="341"/>
    </row>
    <row r="74" spans="1:7" ht="15.75">
      <c r="A74" s="946" t="s">
        <v>154</v>
      </c>
      <c r="B74" s="674">
        <f t="shared" ref="B74:G74" si="8">SUM(B41-B71)</f>
        <v>0</v>
      </c>
      <c r="C74" s="1275">
        <f t="shared" si="8"/>
        <v>0</v>
      </c>
      <c r="D74" s="1275">
        <f t="shared" si="8"/>
        <v>8.389801747398451E-3</v>
      </c>
      <c r="E74" s="1275">
        <f t="shared" si="8"/>
        <v>-0.15142864128574729</v>
      </c>
      <c r="F74" s="1275">
        <f t="shared" si="8"/>
        <v>0.41890767333097756</v>
      </c>
      <c r="G74" s="1275">
        <f t="shared" si="8"/>
        <v>0.29692245926707983</v>
      </c>
    </row>
  </sheetData>
  <mergeCells count="1">
    <mergeCell ref="A1:C1"/>
  </mergeCells>
  <phoneticPr fontId="68" type="noConversion"/>
  <hyperlinks>
    <hyperlink ref="A5" r:id="rId1" xr:uid="{00000000-0004-0000-0300-000000000000}"/>
    <hyperlink ref="A6" r:id="rId2" xr:uid="{00000000-0004-0000-0300-000001000000}"/>
    <hyperlink ref="A13" r:id="rId3" xr:uid="{00000000-0004-0000-0300-000002000000}"/>
    <hyperlink ref="A18" r:id="rId4" xr:uid="{00000000-0004-0000-0300-000003000000}"/>
  </hyperlinks>
  <pageMargins left="0.70000000000000007" right="0.17" top="0.49" bottom="0.17" header="0.30000000000000004" footer="0.30000000000000004"/>
  <pageSetup paperSize="9" scale="62" orientation="portrait"/>
  <drawing r:id="rId5"/>
  <legacyDrawing r:id="rId6"/>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F104"/>
  <sheetViews>
    <sheetView workbookViewId="0">
      <selection activeCell="I18" sqref="I18"/>
    </sheetView>
  </sheetViews>
  <sheetFormatPr defaultColWidth="11.42578125" defaultRowHeight="15.75"/>
  <cols>
    <col min="1" max="1" width="23.42578125" style="90" customWidth="1"/>
    <col min="2" max="2" width="18" style="98" bestFit="1" customWidth="1"/>
    <col min="3" max="3" width="11.42578125" style="90"/>
    <col min="4" max="4" width="22.28515625" style="90" bestFit="1" customWidth="1"/>
    <col min="5" max="5" width="18" style="90" bestFit="1" customWidth="1"/>
    <col min="6" max="16384" width="11.42578125" style="90"/>
  </cols>
  <sheetData>
    <row r="1" spans="1:6" ht="21">
      <c r="A1" s="1436" t="s">
        <v>1662</v>
      </c>
      <c r="B1" s="1436"/>
      <c r="C1" s="1436"/>
      <c r="D1" s="1436"/>
      <c r="E1" s="1436"/>
      <c r="F1" s="1271"/>
    </row>
    <row r="2" spans="1:6">
      <c r="A2" s="482"/>
      <c r="B2" s="481"/>
      <c r="C2" s="481"/>
    </row>
    <row r="3" spans="1:6">
      <c r="A3" s="1193" t="s">
        <v>1365</v>
      </c>
      <c r="B3" s="481"/>
      <c r="C3" s="481"/>
    </row>
    <row r="6" spans="1:6">
      <c r="A6" s="1151" t="s">
        <v>159</v>
      </c>
      <c r="B6" s="1152" t="s">
        <v>1610</v>
      </c>
      <c r="C6" s="1153"/>
      <c r="D6" s="1151" t="s">
        <v>159</v>
      </c>
      <c r="E6" s="1152" t="s">
        <v>1610</v>
      </c>
    </row>
    <row r="7" spans="1:6">
      <c r="A7" s="1154" t="s">
        <v>1106</v>
      </c>
      <c r="B7" s="1155">
        <v>2</v>
      </c>
      <c r="D7" s="1156" t="s">
        <v>1611</v>
      </c>
      <c r="E7" s="1155">
        <v>2</v>
      </c>
    </row>
    <row r="8" spans="1:6">
      <c r="A8" s="1154" t="s">
        <v>1111</v>
      </c>
      <c r="B8" s="1155">
        <v>2</v>
      </c>
      <c r="D8" s="1156" t="s">
        <v>1612</v>
      </c>
      <c r="E8" s="1155">
        <v>3</v>
      </c>
    </row>
    <row r="9" spans="1:6">
      <c r="A9" s="1154" t="s">
        <v>1613</v>
      </c>
      <c r="B9" s="1155">
        <v>2</v>
      </c>
      <c r="D9" s="1156" t="s">
        <v>1614</v>
      </c>
      <c r="E9" s="1155">
        <v>5</v>
      </c>
    </row>
    <row r="10" spans="1:6">
      <c r="A10" s="1154" t="s">
        <v>1615</v>
      </c>
      <c r="B10" s="1155">
        <v>2</v>
      </c>
      <c r="D10" s="1156" t="s">
        <v>1616</v>
      </c>
      <c r="E10" s="1155">
        <v>10</v>
      </c>
    </row>
    <row r="11" spans="1:6">
      <c r="A11" s="1154" t="s">
        <v>212</v>
      </c>
      <c r="B11" s="1155">
        <v>2</v>
      </c>
      <c r="D11" s="1156" t="s">
        <v>1617</v>
      </c>
      <c r="E11" s="1155">
        <v>10</v>
      </c>
    </row>
    <row r="12" spans="1:6">
      <c r="A12" s="1154" t="s">
        <v>1618</v>
      </c>
      <c r="B12" s="1155">
        <v>2</v>
      </c>
      <c r="D12" s="1156" t="s">
        <v>1619</v>
      </c>
      <c r="E12" s="1155">
        <v>10</v>
      </c>
    </row>
    <row r="13" spans="1:6">
      <c r="A13" s="1154" t="s">
        <v>1620</v>
      </c>
      <c r="B13" s="1155">
        <v>2</v>
      </c>
    </row>
    <row r="14" spans="1:6">
      <c r="A14" s="1154" t="s">
        <v>197</v>
      </c>
      <c r="B14" s="1155">
        <v>2</v>
      </c>
    </row>
    <row r="15" spans="1:6">
      <c r="A15" s="1154" t="s">
        <v>1621</v>
      </c>
      <c r="B15" s="1155">
        <v>2</v>
      </c>
    </row>
    <row r="16" spans="1:6">
      <c r="A16" s="1154" t="s">
        <v>254</v>
      </c>
      <c r="B16" s="1155">
        <v>2</v>
      </c>
    </row>
    <row r="17" spans="1:2">
      <c r="A17" s="1154" t="s">
        <v>255</v>
      </c>
      <c r="B17" s="1155">
        <v>2</v>
      </c>
    </row>
    <row r="18" spans="1:2">
      <c r="A18" s="1154" t="s">
        <v>257</v>
      </c>
      <c r="B18" s="1155">
        <v>2</v>
      </c>
    </row>
    <row r="19" spans="1:2">
      <c r="A19" s="1154" t="s">
        <v>204</v>
      </c>
      <c r="B19" s="1155">
        <v>2</v>
      </c>
    </row>
    <row r="20" spans="1:2">
      <c r="A20" s="1154" t="s">
        <v>1109</v>
      </c>
      <c r="B20" s="1155">
        <v>3</v>
      </c>
    </row>
    <row r="21" spans="1:2">
      <c r="A21" s="1154" t="s">
        <v>1622</v>
      </c>
      <c r="B21" s="1155">
        <v>3</v>
      </c>
    </row>
    <row r="22" spans="1:2">
      <c r="A22" s="1154" t="s">
        <v>1623</v>
      </c>
      <c r="B22" s="1155">
        <v>3</v>
      </c>
    </row>
    <row r="23" spans="1:2">
      <c r="A23" s="1154" t="s">
        <v>1624</v>
      </c>
      <c r="B23" s="1155">
        <v>3</v>
      </c>
    </row>
    <row r="24" spans="1:2">
      <c r="A24" s="1154" t="s">
        <v>1625</v>
      </c>
      <c r="B24" s="1155">
        <v>3</v>
      </c>
    </row>
    <row r="25" spans="1:2">
      <c r="A25" s="1154" t="s">
        <v>1120</v>
      </c>
      <c r="B25" s="1155">
        <v>3</v>
      </c>
    </row>
    <row r="26" spans="1:2">
      <c r="A26" s="1154" t="s">
        <v>1123</v>
      </c>
      <c r="B26" s="1155">
        <v>3</v>
      </c>
    </row>
    <row r="27" spans="1:2">
      <c r="A27" s="1154" t="s">
        <v>1124</v>
      </c>
      <c r="B27" s="1155">
        <v>3</v>
      </c>
    </row>
    <row r="28" spans="1:2">
      <c r="A28" s="1154" t="s">
        <v>1626</v>
      </c>
      <c r="B28" s="1155">
        <v>3</v>
      </c>
    </row>
    <row r="29" spans="1:2">
      <c r="A29" s="1154" t="s">
        <v>1627</v>
      </c>
      <c r="B29" s="1155">
        <v>3</v>
      </c>
    </row>
    <row r="30" spans="1:2">
      <c r="A30" s="1154" t="s">
        <v>1628</v>
      </c>
      <c r="B30" s="1155">
        <v>3</v>
      </c>
    </row>
    <row r="31" spans="1:2">
      <c r="A31" s="1154" t="s">
        <v>1127</v>
      </c>
      <c r="B31" s="1155">
        <v>3</v>
      </c>
    </row>
    <row r="32" spans="1:2">
      <c r="A32" s="1154" t="s">
        <v>182</v>
      </c>
      <c r="B32" s="1155">
        <v>3</v>
      </c>
    </row>
    <row r="33" spans="1:2">
      <c r="A33" s="1154" t="s">
        <v>230</v>
      </c>
      <c r="B33" s="1155">
        <v>3</v>
      </c>
    </row>
    <row r="34" spans="1:2">
      <c r="A34" s="1154" t="s">
        <v>1629</v>
      </c>
      <c r="B34" s="1155">
        <v>3</v>
      </c>
    </row>
    <row r="35" spans="1:2">
      <c r="A35" s="1154" t="s">
        <v>184</v>
      </c>
      <c r="B35" s="1155">
        <v>3</v>
      </c>
    </row>
    <row r="36" spans="1:2">
      <c r="A36" s="1154" t="s">
        <v>1630</v>
      </c>
      <c r="B36" s="1155">
        <v>3</v>
      </c>
    </row>
    <row r="37" spans="1:2">
      <c r="A37" s="1154" t="s">
        <v>231</v>
      </c>
      <c r="B37" s="1155">
        <v>3</v>
      </c>
    </row>
    <row r="38" spans="1:2">
      <c r="A38" s="1154" t="s">
        <v>1631</v>
      </c>
      <c r="B38" s="1155">
        <v>3</v>
      </c>
    </row>
    <row r="39" spans="1:2">
      <c r="A39" s="1154" t="s">
        <v>1632</v>
      </c>
      <c r="B39" s="1155">
        <v>3</v>
      </c>
    </row>
    <row r="40" spans="1:2">
      <c r="A40" s="1154" t="s">
        <v>1633</v>
      </c>
      <c r="B40" s="1155">
        <v>3</v>
      </c>
    </row>
    <row r="41" spans="1:2">
      <c r="A41" s="1154" t="s">
        <v>236</v>
      </c>
      <c r="B41" s="1155">
        <v>3</v>
      </c>
    </row>
    <row r="42" spans="1:2">
      <c r="A42" s="1154" t="s">
        <v>241</v>
      </c>
      <c r="B42" s="1155">
        <v>3</v>
      </c>
    </row>
    <row r="43" spans="1:2">
      <c r="A43" s="1154" t="s">
        <v>250</v>
      </c>
      <c r="B43" s="1155">
        <v>3</v>
      </c>
    </row>
    <row r="44" spans="1:2">
      <c r="A44" s="1154" t="s">
        <v>193</v>
      </c>
      <c r="B44" s="1155">
        <v>3</v>
      </c>
    </row>
    <row r="45" spans="1:2">
      <c r="A45" s="1154" t="s">
        <v>200</v>
      </c>
      <c r="B45" s="1155">
        <v>3</v>
      </c>
    </row>
    <row r="46" spans="1:2">
      <c r="A46" s="1154" t="s">
        <v>259</v>
      </c>
      <c r="B46" s="1155">
        <v>3</v>
      </c>
    </row>
    <row r="47" spans="1:2">
      <c r="A47" s="1154" t="s">
        <v>1634</v>
      </c>
      <c r="B47" s="1155">
        <v>5</v>
      </c>
    </row>
    <row r="48" spans="1:2">
      <c r="A48" s="1154" t="s">
        <v>1635</v>
      </c>
      <c r="B48" s="1155">
        <v>5</v>
      </c>
    </row>
    <row r="49" spans="1:2">
      <c r="A49" s="1154" t="s">
        <v>1636</v>
      </c>
      <c r="B49" s="1155">
        <v>5</v>
      </c>
    </row>
    <row r="50" spans="1:2">
      <c r="A50" s="1154" t="s">
        <v>1113</v>
      </c>
      <c r="B50" s="1155">
        <v>5</v>
      </c>
    </row>
    <row r="51" spans="1:2">
      <c r="A51" s="1154" t="s">
        <v>1637</v>
      </c>
      <c r="B51" s="1155">
        <v>5</v>
      </c>
    </row>
    <row r="52" spans="1:2">
      <c r="A52" s="1154" t="s">
        <v>1638</v>
      </c>
      <c r="B52" s="1155">
        <v>5</v>
      </c>
    </row>
    <row r="53" spans="1:2">
      <c r="A53" s="1154" t="s">
        <v>1639</v>
      </c>
      <c r="B53" s="1155">
        <v>5</v>
      </c>
    </row>
    <row r="54" spans="1:2">
      <c r="A54" s="1154" t="s">
        <v>215</v>
      </c>
      <c r="B54" s="1155">
        <v>5</v>
      </c>
    </row>
    <row r="55" spans="1:2">
      <c r="A55" s="1154" t="s">
        <v>1122</v>
      </c>
      <c r="B55" s="1155">
        <v>5</v>
      </c>
    </row>
    <row r="56" spans="1:2">
      <c r="A56" s="1154" t="s">
        <v>223</v>
      </c>
      <c r="B56" s="1155">
        <v>5</v>
      </c>
    </row>
    <row r="57" spans="1:2">
      <c r="A57" s="1154" t="s">
        <v>1640</v>
      </c>
      <c r="B57" s="1155">
        <v>5</v>
      </c>
    </row>
    <row r="58" spans="1:2">
      <c r="A58" s="1154" t="s">
        <v>1641</v>
      </c>
      <c r="B58" s="1155">
        <v>5</v>
      </c>
    </row>
    <row r="59" spans="1:2">
      <c r="A59" s="1154" t="s">
        <v>1642</v>
      </c>
      <c r="B59" s="1155">
        <v>5</v>
      </c>
    </row>
    <row r="60" spans="1:2">
      <c r="A60" s="1154" t="s">
        <v>1126</v>
      </c>
      <c r="B60" s="1155">
        <v>5</v>
      </c>
    </row>
    <row r="61" spans="1:2">
      <c r="A61" s="1154" t="s">
        <v>1643</v>
      </c>
      <c r="B61" s="1155">
        <v>5</v>
      </c>
    </row>
    <row r="62" spans="1:2">
      <c r="A62" s="1154" t="s">
        <v>1644</v>
      </c>
      <c r="B62" s="1155">
        <v>5</v>
      </c>
    </row>
    <row r="63" spans="1:2">
      <c r="A63" s="1154" t="s">
        <v>238</v>
      </c>
      <c r="B63" s="1155">
        <v>5</v>
      </c>
    </row>
    <row r="64" spans="1:2">
      <c r="A64" s="1154" t="s">
        <v>1645</v>
      </c>
      <c r="B64" s="1155">
        <v>5</v>
      </c>
    </row>
    <row r="65" spans="1:2">
      <c r="A65" s="1154" t="s">
        <v>1646</v>
      </c>
      <c r="B65" s="1155">
        <v>5</v>
      </c>
    </row>
    <row r="66" spans="1:2">
      <c r="A66" s="1154" t="s">
        <v>189</v>
      </c>
      <c r="B66" s="1155">
        <v>5</v>
      </c>
    </row>
    <row r="67" spans="1:2">
      <c r="A67" s="1154" t="s">
        <v>243</v>
      </c>
      <c r="B67" s="1155">
        <v>5</v>
      </c>
    </row>
    <row r="68" spans="1:2">
      <c r="A68" s="1154" t="s">
        <v>244</v>
      </c>
      <c r="B68" s="1155">
        <v>5</v>
      </c>
    </row>
    <row r="69" spans="1:2">
      <c r="A69" s="1154" t="s">
        <v>247</v>
      </c>
      <c r="B69" s="1155">
        <v>5</v>
      </c>
    </row>
    <row r="70" spans="1:2">
      <c r="A70" s="1154" t="s">
        <v>194</v>
      </c>
      <c r="B70" s="1155">
        <v>5</v>
      </c>
    </row>
    <row r="71" spans="1:2">
      <c r="A71" s="1154" t="s">
        <v>195</v>
      </c>
      <c r="B71" s="1155">
        <v>5</v>
      </c>
    </row>
    <row r="72" spans="1:2">
      <c r="A72" s="1154" t="s">
        <v>198</v>
      </c>
      <c r="B72" s="1155">
        <v>5</v>
      </c>
    </row>
    <row r="73" spans="1:2">
      <c r="A73" s="1154" t="s">
        <v>1647</v>
      </c>
      <c r="B73" s="1155">
        <v>5</v>
      </c>
    </row>
    <row r="74" spans="1:2">
      <c r="A74" s="1154" t="s">
        <v>1648</v>
      </c>
      <c r="B74" s="1155">
        <v>5</v>
      </c>
    </row>
    <row r="75" spans="1:2">
      <c r="A75" s="1154" t="s">
        <v>1649</v>
      </c>
      <c r="B75" s="1155">
        <v>5</v>
      </c>
    </row>
    <row r="76" spans="1:2">
      <c r="A76" s="1154" t="s">
        <v>203</v>
      </c>
      <c r="B76" s="1155">
        <v>5</v>
      </c>
    </row>
    <row r="77" spans="1:2">
      <c r="A77" s="1154" t="s">
        <v>1650</v>
      </c>
      <c r="B77" s="1155">
        <v>5</v>
      </c>
    </row>
    <row r="78" spans="1:2">
      <c r="A78" s="1154" t="s">
        <v>1651</v>
      </c>
      <c r="B78" s="1155">
        <v>5</v>
      </c>
    </row>
    <row r="79" spans="1:2">
      <c r="A79" s="1154" t="s">
        <v>205</v>
      </c>
      <c r="B79" s="1155">
        <v>5</v>
      </c>
    </row>
    <row r="80" spans="1:2">
      <c r="A80" s="1154" t="s">
        <v>1652</v>
      </c>
      <c r="B80" s="1155">
        <v>5</v>
      </c>
    </row>
    <row r="81" spans="1:2">
      <c r="A81" s="1154" t="s">
        <v>1107</v>
      </c>
      <c r="B81" s="1155">
        <v>10</v>
      </c>
    </row>
    <row r="82" spans="1:2">
      <c r="A82" s="1154" t="s">
        <v>1108</v>
      </c>
      <c r="B82" s="1155">
        <v>10</v>
      </c>
    </row>
    <row r="83" spans="1:2">
      <c r="A83" s="1154" t="s">
        <v>1653</v>
      </c>
      <c r="B83" s="1155">
        <v>10</v>
      </c>
    </row>
    <row r="84" spans="1:2">
      <c r="A84" s="1154" t="s">
        <v>1114</v>
      </c>
      <c r="B84" s="1155">
        <v>10</v>
      </c>
    </row>
    <row r="85" spans="1:2">
      <c r="A85" s="1154" t="s">
        <v>1654</v>
      </c>
      <c r="B85" s="1155">
        <v>10</v>
      </c>
    </row>
    <row r="86" spans="1:2">
      <c r="A86" s="1154" t="s">
        <v>1655</v>
      </c>
      <c r="B86" s="1155">
        <v>10</v>
      </c>
    </row>
    <row r="87" spans="1:2">
      <c r="A87" s="1154" t="s">
        <v>1115</v>
      </c>
      <c r="B87" s="1155">
        <v>10</v>
      </c>
    </row>
    <row r="88" spans="1:2">
      <c r="A88" s="1154" t="s">
        <v>1116</v>
      </c>
      <c r="B88" s="1155">
        <v>10</v>
      </c>
    </row>
    <row r="89" spans="1:2">
      <c r="A89" s="1154" t="s">
        <v>1117</v>
      </c>
      <c r="B89" s="1155">
        <v>10</v>
      </c>
    </row>
    <row r="90" spans="1:2">
      <c r="A90" s="1154" t="s">
        <v>216</v>
      </c>
      <c r="B90" s="1155">
        <v>10</v>
      </c>
    </row>
    <row r="91" spans="1:2">
      <c r="A91" s="1154" t="s">
        <v>218</v>
      </c>
      <c r="B91" s="1155">
        <v>10</v>
      </c>
    </row>
    <row r="92" spans="1:2">
      <c r="A92" s="1154" t="s">
        <v>219</v>
      </c>
      <c r="B92" s="1155">
        <v>10</v>
      </c>
    </row>
    <row r="93" spans="1:2">
      <c r="A93" s="1154" t="s">
        <v>220</v>
      </c>
      <c r="B93" s="1155">
        <v>10</v>
      </c>
    </row>
    <row r="94" spans="1:2">
      <c r="A94" s="1154" t="s">
        <v>1121</v>
      </c>
      <c r="B94" s="1155">
        <v>10</v>
      </c>
    </row>
    <row r="95" spans="1:2">
      <c r="A95" s="1154" t="s">
        <v>1656</v>
      </c>
      <c r="B95" s="1155">
        <v>10</v>
      </c>
    </row>
    <row r="96" spans="1:2">
      <c r="A96" s="1154" t="s">
        <v>186</v>
      </c>
      <c r="B96" s="1155">
        <v>10</v>
      </c>
    </row>
    <row r="97" spans="1:2">
      <c r="A97" s="1154" t="s">
        <v>233</v>
      </c>
      <c r="B97" s="1155">
        <v>10</v>
      </c>
    </row>
    <row r="98" spans="1:2">
      <c r="A98" s="1154" t="s">
        <v>237</v>
      </c>
      <c r="B98" s="1155">
        <v>10</v>
      </c>
    </row>
    <row r="99" spans="1:2">
      <c r="A99" s="1154" t="s">
        <v>1657</v>
      </c>
      <c r="B99" s="1155">
        <v>10</v>
      </c>
    </row>
    <row r="100" spans="1:2">
      <c r="A100" s="1154" t="s">
        <v>1658</v>
      </c>
      <c r="B100" s="1155">
        <v>10</v>
      </c>
    </row>
    <row r="101" spans="1:2">
      <c r="A101" s="1154" t="s">
        <v>1659</v>
      </c>
      <c r="B101" s="1155">
        <v>10</v>
      </c>
    </row>
    <row r="102" spans="1:2">
      <c r="A102" s="1154" t="s">
        <v>202</v>
      </c>
      <c r="B102" s="1155">
        <v>10</v>
      </c>
    </row>
    <row r="103" spans="1:2">
      <c r="A103" s="1154" t="s">
        <v>260</v>
      </c>
      <c r="B103" s="1155">
        <v>10</v>
      </c>
    </row>
    <row r="104" spans="1:2">
      <c r="A104" s="1154" t="s">
        <v>261</v>
      </c>
      <c r="B104" s="1155">
        <v>10</v>
      </c>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N3"/>
  <sheetViews>
    <sheetView topLeftCell="A19" zoomScale="125" zoomScaleNormal="125" zoomScalePageLayoutView="125" workbookViewId="0">
      <selection sqref="A1:I1"/>
    </sheetView>
  </sheetViews>
  <sheetFormatPr defaultColWidth="10.85546875" defaultRowHeight="12.75"/>
  <cols>
    <col min="1" max="16384" width="10.85546875" style="83"/>
  </cols>
  <sheetData>
    <row r="1" spans="1:14" ht="18.75">
      <c r="A1" s="1432" t="s">
        <v>1735</v>
      </c>
      <c r="B1" s="1432"/>
      <c r="C1" s="1432"/>
      <c r="D1" s="1432"/>
      <c r="E1" s="1432"/>
      <c r="F1" s="1432"/>
      <c r="G1" s="1432"/>
      <c r="H1" s="1432"/>
      <c r="I1" s="1432"/>
      <c r="J1" s="1270"/>
      <c r="K1" s="1270"/>
      <c r="L1" s="1270"/>
      <c r="M1" s="1270"/>
      <c r="N1" s="1270"/>
    </row>
    <row r="3" spans="1:14">
      <c r="A3" s="83" t="s">
        <v>1733</v>
      </c>
    </row>
  </sheetData>
  <mergeCells count="1">
    <mergeCell ref="A1:I1"/>
  </mergeCells>
  <phoneticPr fontId="68" type="noConversion"/>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235"/>
  <sheetViews>
    <sheetView topLeftCell="A55" workbookViewId="0">
      <selection activeCell="D35" sqref="D35:I47"/>
    </sheetView>
  </sheetViews>
  <sheetFormatPr defaultColWidth="8.85546875" defaultRowHeight="14.1" customHeight="1"/>
  <cols>
    <col min="1" max="1" width="42.140625" style="1194" bestFit="1" customWidth="1"/>
    <col min="2" max="2" width="17.7109375" style="1194" customWidth="1"/>
    <col min="3" max="16384" width="8.85546875" style="1194"/>
  </cols>
  <sheetData>
    <row r="1" spans="1:9" ht="18.75">
      <c r="A1" s="1456" t="s">
        <v>1734</v>
      </c>
      <c r="B1" s="1456"/>
      <c r="C1" s="1456"/>
      <c r="D1" s="1456"/>
      <c r="E1" s="1456"/>
      <c r="F1" s="1456"/>
      <c r="G1" s="1456"/>
      <c r="H1" s="1456"/>
      <c r="I1" s="1456"/>
    </row>
    <row r="2" spans="1:9" ht="14.1" customHeight="1">
      <c r="A2" s="1195"/>
    </row>
    <row r="3" spans="1:9" ht="14.1" customHeight="1">
      <c r="A3" s="1455" t="s">
        <v>1663</v>
      </c>
      <c r="B3" s="1455"/>
      <c r="C3" s="1455"/>
      <c r="D3" s="1455"/>
      <c r="E3" s="1455"/>
      <c r="F3" s="1455"/>
      <c r="G3" s="1455"/>
      <c r="H3" s="1455"/>
      <c r="I3" s="1455"/>
    </row>
    <row r="4" spans="1:9" ht="14.1" customHeight="1">
      <c r="A4" s="1455"/>
      <c r="B4" s="1455"/>
      <c r="C4" s="1455"/>
      <c r="D4" s="1455"/>
      <c r="E4" s="1455"/>
      <c r="F4" s="1455"/>
      <c r="G4" s="1455"/>
      <c r="H4" s="1455"/>
      <c r="I4" s="1455"/>
    </row>
    <row r="5" spans="1:9" ht="14.1" customHeight="1">
      <c r="A5" s="1455"/>
      <c r="B5" s="1455"/>
      <c r="C5" s="1455"/>
      <c r="D5" s="1455"/>
      <c r="E5" s="1455"/>
      <c r="F5" s="1455"/>
      <c r="G5" s="1455"/>
      <c r="H5" s="1455"/>
      <c r="I5" s="1455"/>
    </row>
    <row r="6" spans="1:9" ht="14.1" customHeight="1">
      <c r="A6" s="1455"/>
      <c r="B6" s="1455"/>
      <c r="C6" s="1455"/>
      <c r="D6" s="1455"/>
      <c r="E6" s="1455"/>
      <c r="F6" s="1455"/>
      <c r="G6" s="1455"/>
      <c r="H6" s="1455"/>
      <c r="I6" s="1455"/>
    </row>
    <row r="7" spans="1:9" ht="14.1" customHeight="1">
      <c r="A7" s="1455"/>
      <c r="B7" s="1455"/>
      <c r="C7" s="1455"/>
      <c r="D7" s="1455"/>
      <c r="E7" s="1455"/>
      <c r="F7" s="1455"/>
      <c r="G7" s="1455"/>
      <c r="H7" s="1455"/>
      <c r="I7" s="1455"/>
    </row>
    <row r="8" spans="1:9" ht="14.1" customHeight="1">
      <c r="A8" s="1455"/>
      <c r="B8" s="1455"/>
      <c r="C8" s="1455"/>
      <c r="D8" s="1455"/>
      <c r="E8" s="1455"/>
      <c r="F8" s="1455"/>
      <c r="G8" s="1455"/>
      <c r="H8" s="1455"/>
      <c r="I8" s="1455"/>
    </row>
    <row r="9" spans="1:9" ht="14.1" customHeight="1">
      <c r="A9" s="1455"/>
      <c r="B9" s="1455"/>
      <c r="C9" s="1455"/>
      <c r="D9" s="1455"/>
      <c r="E9" s="1455"/>
      <c r="F9" s="1455"/>
      <c r="G9" s="1455"/>
      <c r="H9" s="1455"/>
      <c r="I9" s="1455"/>
    </row>
    <row r="10" spans="1:9" ht="14.1" customHeight="1">
      <c r="A10" s="1455"/>
      <c r="B10" s="1455"/>
      <c r="C10" s="1455"/>
      <c r="D10" s="1455"/>
      <c r="E10" s="1455"/>
      <c r="F10" s="1455"/>
      <c r="G10" s="1455"/>
      <c r="H10" s="1455"/>
      <c r="I10" s="1455"/>
    </row>
    <row r="11" spans="1:9" ht="14.1" customHeight="1">
      <c r="A11" s="1455"/>
      <c r="B11" s="1455"/>
      <c r="C11" s="1455"/>
      <c r="D11" s="1455"/>
      <c r="E11" s="1455"/>
      <c r="F11" s="1455"/>
      <c r="G11" s="1455"/>
      <c r="H11" s="1455"/>
      <c r="I11" s="1455"/>
    </row>
    <row r="12" spans="1:9" ht="14.1" customHeight="1">
      <c r="A12" s="1455"/>
      <c r="B12" s="1455"/>
      <c r="C12" s="1455"/>
      <c r="D12" s="1455"/>
      <c r="E12" s="1455"/>
      <c r="F12" s="1455"/>
      <c r="G12" s="1455"/>
      <c r="H12" s="1455"/>
      <c r="I12" s="1455"/>
    </row>
    <row r="13" spans="1:9" ht="14.1" customHeight="1">
      <c r="A13" s="1455"/>
      <c r="B13" s="1455"/>
      <c r="C13" s="1455"/>
      <c r="D13" s="1455"/>
      <c r="E13" s="1455"/>
      <c r="F13" s="1455"/>
      <c r="G13" s="1455"/>
      <c r="H13" s="1455"/>
      <c r="I13" s="1455"/>
    </row>
    <row r="14" spans="1:9" ht="14.1" customHeight="1">
      <c r="A14" s="1455"/>
      <c r="B14" s="1455"/>
      <c r="C14" s="1455"/>
      <c r="D14" s="1455"/>
      <c r="E14" s="1455"/>
      <c r="F14" s="1455"/>
      <c r="G14" s="1455"/>
      <c r="H14" s="1455"/>
      <c r="I14" s="1455"/>
    </row>
    <row r="15" spans="1:9" ht="14.1" customHeight="1">
      <c r="A15" s="1455"/>
      <c r="B15" s="1455"/>
      <c r="C15" s="1455"/>
      <c r="D15" s="1455"/>
      <c r="E15" s="1455"/>
      <c r="F15" s="1455"/>
      <c r="G15" s="1455"/>
      <c r="H15" s="1455"/>
      <c r="I15" s="1455"/>
    </row>
    <row r="16" spans="1:9" ht="14.1" customHeight="1">
      <c r="A16" s="1455"/>
      <c r="B16" s="1455"/>
      <c r="C16" s="1455"/>
      <c r="D16" s="1455"/>
      <c r="E16" s="1455"/>
      <c r="F16" s="1455"/>
      <c r="G16" s="1455"/>
      <c r="H16" s="1455"/>
      <c r="I16" s="1455"/>
    </row>
    <row r="17" spans="1:9" ht="14.1" customHeight="1">
      <c r="A17" s="1455"/>
      <c r="B17" s="1455"/>
      <c r="C17" s="1455"/>
      <c r="D17" s="1455"/>
      <c r="E17" s="1455"/>
      <c r="F17" s="1455"/>
      <c r="G17" s="1455"/>
      <c r="H17" s="1455"/>
      <c r="I17" s="1455"/>
    </row>
    <row r="18" spans="1:9" ht="14.1" customHeight="1">
      <c r="A18" s="1455"/>
      <c r="B18" s="1455"/>
      <c r="C18" s="1455"/>
      <c r="D18" s="1455"/>
      <c r="E18" s="1455"/>
      <c r="F18" s="1455"/>
      <c r="G18" s="1455"/>
      <c r="H18" s="1455"/>
      <c r="I18" s="1455"/>
    </row>
    <row r="19" spans="1:9" ht="14.1" customHeight="1">
      <c r="A19" s="1455"/>
      <c r="B19" s="1455"/>
      <c r="C19" s="1455"/>
      <c r="D19" s="1455"/>
      <c r="E19" s="1455"/>
      <c r="F19" s="1455"/>
      <c r="G19" s="1455"/>
      <c r="H19" s="1455"/>
      <c r="I19" s="1455"/>
    </row>
    <row r="20" spans="1:9" ht="14.1" customHeight="1">
      <c r="A20" s="1455"/>
      <c r="B20" s="1455"/>
      <c r="C20" s="1455"/>
      <c r="D20" s="1455"/>
      <c r="E20" s="1455"/>
      <c r="F20" s="1455"/>
      <c r="G20" s="1455"/>
      <c r="H20" s="1455"/>
      <c r="I20" s="1455"/>
    </row>
    <row r="21" spans="1:9" ht="14.1" customHeight="1">
      <c r="A21" s="1455"/>
      <c r="B21" s="1455"/>
      <c r="C21" s="1455"/>
      <c r="D21" s="1455"/>
      <c r="E21" s="1455"/>
      <c r="F21" s="1455"/>
      <c r="G21" s="1455"/>
      <c r="H21" s="1455"/>
      <c r="I21" s="1455"/>
    </row>
    <row r="22" spans="1:9" ht="14.1" customHeight="1">
      <c r="A22" s="1455"/>
      <c r="B22" s="1455"/>
      <c r="C22" s="1455"/>
      <c r="D22" s="1455"/>
      <c r="E22" s="1455"/>
      <c r="F22" s="1455"/>
      <c r="G22" s="1455"/>
      <c r="H22" s="1455"/>
      <c r="I22" s="1455"/>
    </row>
    <row r="23" spans="1:9" ht="14.1" customHeight="1">
      <c r="A23" s="1455"/>
      <c r="B23" s="1455"/>
      <c r="C23" s="1455"/>
      <c r="D23" s="1455"/>
      <c r="E23" s="1455"/>
      <c r="F23" s="1455"/>
      <c r="G23" s="1455"/>
      <c r="H23" s="1455"/>
      <c r="I23" s="1455"/>
    </row>
    <row r="24" spans="1:9" ht="14.1" customHeight="1">
      <c r="A24" s="1455"/>
      <c r="B24" s="1455"/>
      <c r="C24" s="1455"/>
      <c r="D24" s="1455"/>
      <c r="E24" s="1455"/>
      <c r="F24" s="1455"/>
      <c r="G24" s="1455"/>
      <c r="H24" s="1455"/>
      <c r="I24" s="1455"/>
    </row>
    <row r="25" spans="1:9" ht="14.1" customHeight="1">
      <c r="A25" s="1455"/>
      <c r="B25" s="1455"/>
      <c r="C25" s="1455"/>
      <c r="D25" s="1455"/>
      <c r="E25" s="1455"/>
      <c r="F25" s="1455"/>
      <c r="G25" s="1455"/>
      <c r="H25" s="1455"/>
      <c r="I25" s="1455"/>
    </row>
    <row r="26" spans="1:9" ht="14.1" customHeight="1">
      <c r="A26" s="1455"/>
      <c r="B26" s="1455"/>
      <c r="C26" s="1455"/>
      <c r="D26" s="1455"/>
      <c r="E26" s="1455"/>
      <c r="F26" s="1455"/>
      <c r="G26" s="1455"/>
      <c r="H26" s="1455"/>
      <c r="I26" s="1455"/>
    </row>
    <row r="27" spans="1:9" ht="14.1" customHeight="1">
      <c r="A27" s="1455"/>
      <c r="B27" s="1455"/>
      <c r="C27" s="1455"/>
      <c r="D27" s="1455"/>
      <c r="E27" s="1455"/>
      <c r="F27" s="1455"/>
      <c r="G27" s="1455"/>
      <c r="H27" s="1455"/>
      <c r="I27" s="1455"/>
    </row>
    <row r="28" spans="1:9" ht="14.1" customHeight="1">
      <c r="A28" s="1455"/>
      <c r="B28" s="1455"/>
      <c r="C28" s="1455"/>
      <c r="D28" s="1455"/>
      <c r="E28" s="1455"/>
      <c r="F28" s="1455"/>
      <c r="G28" s="1455"/>
      <c r="H28" s="1455"/>
      <c r="I28" s="1455"/>
    </row>
    <row r="29" spans="1:9" ht="14.1" customHeight="1">
      <c r="A29" s="1455"/>
      <c r="B29" s="1455"/>
      <c r="C29" s="1455"/>
      <c r="D29" s="1455"/>
      <c r="E29" s="1455"/>
      <c r="F29" s="1455"/>
      <c r="G29" s="1455"/>
      <c r="H29" s="1455"/>
      <c r="I29" s="1455"/>
    </row>
    <row r="30" spans="1:9" ht="14.1" customHeight="1">
      <c r="A30" s="1455"/>
      <c r="B30" s="1455"/>
      <c r="C30" s="1455"/>
      <c r="D30" s="1455"/>
      <c r="E30" s="1455"/>
      <c r="F30" s="1455"/>
      <c r="G30" s="1455"/>
      <c r="H30" s="1455"/>
      <c r="I30" s="1455"/>
    </row>
    <row r="31" spans="1:9" ht="14.1" customHeight="1">
      <c r="A31" s="1455"/>
      <c r="B31" s="1455"/>
      <c r="C31" s="1455"/>
      <c r="D31" s="1455"/>
      <c r="E31" s="1455"/>
      <c r="F31" s="1455"/>
      <c r="G31" s="1455"/>
      <c r="H31" s="1455"/>
      <c r="I31" s="1455"/>
    </row>
    <row r="33" spans="1:9" ht="14.1" customHeight="1">
      <c r="A33" s="1272" t="s">
        <v>1723</v>
      </c>
      <c r="B33" s="1196"/>
      <c r="C33" s="1196"/>
      <c r="D33" s="1196"/>
      <c r="E33" s="1196"/>
      <c r="F33" s="1196"/>
      <c r="G33" s="1196"/>
      <c r="H33" s="1196"/>
      <c r="I33" s="1196"/>
    </row>
    <row r="34" spans="1:9" s="1197" customFormat="1" ht="14.1" customHeight="1"/>
    <row r="35" spans="1:9" ht="14.1" customHeight="1">
      <c r="A35" s="1198" t="s">
        <v>1664</v>
      </c>
      <c r="D35" s="1446" t="s">
        <v>1665</v>
      </c>
      <c r="E35" s="1447"/>
      <c r="F35" s="1447"/>
      <c r="G35" s="1447"/>
      <c r="H35" s="1447"/>
      <c r="I35" s="1448"/>
    </row>
    <row r="36" spans="1:9" ht="14.1" customHeight="1">
      <c r="D36" s="1449"/>
      <c r="E36" s="1450"/>
      <c r="F36" s="1450"/>
      <c r="G36" s="1450"/>
      <c r="H36" s="1450"/>
      <c r="I36" s="1451"/>
    </row>
    <row r="37" spans="1:9" s="1197" customFormat="1" ht="14.1" customHeight="1">
      <c r="A37" s="1199" t="s">
        <v>1728</v>
      </c>
      <c r="B37" s="1200">
        <v>40</v>
      </c>
      <c r="D37" s="1449"/>
      <c r="E37" s="1450"/>
      <c r="F37" s="1450"/>
      <c r="G37" s="1450"/>
      <c r="H37" s="1450"/>
      <c r="I37" s="1451"/>
    </row>
    <row r="38" spans="1:9" s="1197" customFormat="1" ht="14.1" customHeight="1">
      <c r="A38" s="1199" t="s">
        <v>1666</v>
      </c>
      <c r="B38" s="1201">
        <v>12000</v>
      </c>
      <c r="D38" s="1449"/>
      <c r="E38" s="1450"/>
      <c r="F38" s="1450"/>
      <c r="G38" s="1450"/>
      <c r="H38" s="1450"/>
      <c r="I38" s="1451"/>
    </row>
    <row r="39" spans="1:9" s="1197" customFormat="1" ht="14.1" customHeight="1">
      <c r="C39" s="1194"/>
      <c r="D39" s="1449"/>
      <c r="E39" s="1450"/>
      <c r="F39" s="1450"/>
      <c r="G39" s="1450"/>
      <c r="H39" s="1450"/>
      <c r="I39" s="1451"/>
    </row>
    <row r="40" spans="1:9" ht="14.1" customHeight="1">
      <c r="A40" s="1199" t="s">
        <v>1729</v>
      </c>
      <c r="B40" s="1200">
        <f>'Other input data'!G5</f>
        <v>60</v>
      </c>
      <c r="D40" s="1449"/>
      <c r="E40" s="1450"/>
      <c r="F40" s="1450"/>
      <c r="G40" s="1450"/>
      <c r="H40" s="1450"/>
      <c r="I40" s="1451"/>
    </row>
    <row r="41" spans="1:9" ht="14.1" customHeight="1">
      <c r="A41" s="1199" t="s">
        <v>1667</v>
      </c>
      <c r="B41" s="1201">
        <f>'Income Statement'!G8/'Income approach'!B40</f>
        <v>45949.4</v>
      </c>
      <c r="D41" s="1449"/>
      <c r="E41" s="1450"/>
      <c r="F41" s="1450"/>
      <c r="G41" s="1450"/>
      <c r="H41" s="1450"/>
      <c r="I41" s="1451"/>
    </row>
    <row r="42" spans="1:9" ht="14.1" customHeight="1">
      <c r="D42" s="1449"/>
      <c r="E42" s="1450"/>
      <c r="F42" s="1450"/>
      <c r="G42" s="1450"/>
      <c r="H42" s="1450"/>
      <c r="I42" s="1451"/>
    </row>
    <row r="43" spans="1:9" ht="14.1" customHeight="1">
      <c r="A43" s="1197" t="s">
        <v>1668</v>
      </c>
      <c r="B43" s="1202">
        <f>B40-B37</f>
        <v>20</v>
      </c>
      <c r="D43" s="1449"/>
      <c r="E43" s="1450"/>
      <c r="F43" s="1450"/>
      <c r="G43" s="1450"/>
      <c r="H43" s="1450"/>
      <c r="I43" s="1451"/>
    </row>
    <row r="44" spans="1:9" ht="14.1" customHeight="1">
      <c r="A44" s="1197" t="s">
        <v>1669</v>
      </c>
      <c r="B44" s="1203">
        <f>(B40-B37)/B37</f>
        <v>0.5</v>
      </c>
      <c r="D44" s="1449"/>
      <c r="E44" s="1450"/>
      <c r="F44" s="1450"/>
      <c r="G44" s="1450"/>
      <c r="H44" s="1450"/>
      <c r="I44" s="1451"/>
    </row>
    <row r="45" spans="1:9" ht="14.1" customHeight="1">
      <c r="A45" s="1197" t="s">
        <v>1670</v>
      </c>
      <c r="B45" s="1204">
        <f>B41-B38</f>
        <v>33949.4</v>
      </c>
      <c r="D45" s="1449"/>
      <c r="E45" s="1450"/>
      <c r="F45" s="1450"/>
      <c r="G45" s="1450"/>
      <c r="H45" s="1450"/>
      <c r="I45" s="1451"/>
    </row>
    <row r="46" spans="1:9" ht="14.1" customHeight="1">
      <c r="A46" s="1197" t="s">
        <v>1671</v>
      </c>
      <c r="B46" s="1203">
        <f>(B41-B38)/B38</f>
        <v>2.8291166666666667</v>
      </c>
      <c r="D46" s="1449"/>
      <c r="E46" s="1450"/>
      <c r="F46" s="1450"/>
      <c r="G46" s="1450"/>
      <c r="H46" s="1450"/>
      <c r="I46" s="1451"/>
    </row>
    <row r="47" spans="1:9" ht="14.1" customHeight="1">
      <c r="D47" s="1452"/>
      <c r="E47" s="1453"/>
      <c r="F47" s="1453"/>
      <c r="G47" s="1453"/>
      <c r="H47" s="1453"/>
      <c r="I47" s="1454"/>
    </row>
    <row r="48" spans="1:9" ht="14.1" customHeight="1">
      <c r="A48" s="1205" t="s">
        <v>1672</v>
      </c>
      <c r="B48" s="1206">
        <f>B43*B45</f>
        <v>678988</v>
      </c>
      <c r="C48" s="1207"/>
      <c r="D48" s="1208"/>
      <c r="E48" s="1208"/>
      <c r="F48" s="1208"/>
      <c r="G48" s="1208"/>
      <c r="H48" s="1208"/>
      <c r="I48" s="1208"/>
    </row>
    <row r="49" spans="1:9" ht="14.1" customHeight="1">
      <c r="D49" s="1208"/>
      <c r="E49" s="1208"/>
      <c r="F49" s="1208"/>
      <c r="G49" s="1208"/>
      <c r="H49" s="1208"/>
      <c r="I49" s="1208"/>
    </row>
    <row r="50" spans="1:9" ht="14.1" customHeight="1">
      <c r="A50" s="1197"/>
      <c r="B50" s="1209"/>
      <c r="D50" s="1208"/>
      <c r="E50" s="1208"/>
      <c r="F50" s="1208"/>
      <c r="G50" s="1208"/>
      <c r="H50" s="1208"/>
      <c r="I50" s="1208"/>
    </row>
    <row r="51" spans="1:9" ht="14.1" customHeight="1">
      <c r="A51" s="1198" t="s">
        <v>1673</v>
      </c>
    </row>
    <row r="53" spans="1:9" s="1197" customFormat="1" ht="14.1" customHeight="1">
      <c r="A53" s="1199" t="s">
        <v>1674</v>
      </c>
      <c r="B53" s="1210" t="s">
        <v>1675</v>
      </c>
      <c r="C53" s="1207" t="s">
        <v>1676</v>
      </c>
    </row>
    <row r="54" spans="1:9" s="1197" customFormat="1" ht="14.1" customHeight="1">
      <c r="A54" s="1211" t="s">
        <v>1677</v>
      </c>
      <c r="B54" s="1212">
        <v>20</v>
      </c>
      <c r="C54" s="1207"/>
    </row>
    <row r="55" spans="1:9" s="1215" customFormat="1" ht="14.1" customHeight="1">
      <c r="A55" s="1213" t="s">
        <v>1678</v>
      </c>
      <c r="B55" s="1214" t="s">
        <v>1675</v>
      </c>
      <c r="C55" s="1197"/>
    </row>
    <row r="56" spans="1:9" s="1215" customFormat="1" ht="14.1" customHeight="1">
      <c r="A56" s="1216" t="s">
        <v>1679</v>
      </c>
      <c r="B56" s="1217">
        <f>'Other input data'!B26</f>
        <v>0.06</v>
      </c>
      <c r="C56" s="1207" t="s">
        <v>1676</v>
      </c>
    </row>
    <row r="57" spans="1:9" s="1215" customFormat="1" ht="14.1" customHeight="1"/>
    <row r="58" spans="1:9" s="1215" customFormat="1" ht="14.1" customHeight="1">
      <c r="A58" s="1213" t="s">
        <v>1680</v>
      </c>
      <c r="B58" s="1218">
        <f>WACC!C14</f>
        <v>0.16534855279249897</v>
      </c>
      <c r="C58" s="1207" t="s">
        <v>1676</v>
      </c>
    </row>
    <row r="59" spans="1:9" s="1215" customFormat="1" ht="14.1" customHeight="1">
      <c r="A59" s="1213" t="s">
        <v>1681</v>
      </c>
      <c r="B59" s="1214" t="s">
        <v>1675</v>
      </c>
    </row>
    <row r="60" spans="1:9" s="1215" customFormat="1" ht="14.1" customHeight="1">
      <c r="A60" s="1216" t="s">
        <v>1682</v>
      </c>
      <c r="B60" s="1217">
        <v>0.1</v>
      </c>
      <c r="C60" s="1207" t="s">
        <v>1676</v>
      </c>
    </row>
    <row r="61" spans="1:9" s="1215" customFormat="1" ht="14.1" customHeight="1">
      <c r="A61" s="1219" t="s">
        <v>1683</v>
      </c>
      <c r="B61" s="1220">
        <f>IF(B59="YES",B58,B60)</f>
        <v>0.16534855279249897</v>
      </c>
      <c r="C61" s="1207" t="s">
        <v>1676</v>
      </c>
    </row>
    <row r="62" spans="1:9" s="1215" customFormat="1" ht="14.1" customHeight="1">
      <c r="B62" s="1217"/>
    </row>
    <row r="63" spans="1:9" s="1215" customFormat="1" ht="14.1" customHeight="1">
      <c r="B63" s="1217"/>
    </row>
    <row r="64" spans="1:9" s="1215" customFormat="1" ht="14.1" customHeight="1">
      <c r="A64" s="1221" t="s">
        <v>1684</v>
      </c>
      <c r="B64" s="1217"/>
      <c r="D64" s="1222"/>
      <c r="E64" s="1222"/>
      <c r="F64" s="1222"/>
      <c r="G64" s="1222"/>
      <c r="H64" s="1222"/>
      <c r="I64" s="1222"/>
    </row>
    <row r="65" spans="1:10" s="1215" customFormat="1" ht="14.1" customHeight="1">
      <c r="B65" s="1217"/>
      <c r="D65" s="1222"/>
      <c r="E65" s="1222"/>
      <c r="F65" s="1222"/>
      <c r="G65" s="1222"/>
      <c r="H65" s="1222"/>
      <c r="I65" s="1222"/>
    </row>
    <row r="66" spans="1:10" s="1215" customFormat="1" ht="14.1" customHeight="1">
      <c r="A66" s="1215" t="s">
        <v>1685</v>
      </c>
      <c r="B66" s="1269">
        <f>IF(B53="YES",IF(B55="YES",1/(B61-B56)*(1-((1+B56)/(1+B61))^B54),(1-(1+B61)^(-B54))/B61),IF(B55="YES",1/(B61-B56),1/B61))</f>
        <v>8.0654704223927407</v>
      </c>
      <c r="D66" s="1222"/>
      <c r="E66" s="1222"/>
      <c r="F66" s="1222"/>
      <c r="G66" s="1222"/>
      <c r="H66" s="1222"/>
      <c r="I66" s="1222"/>
    </row>
    <row r="67" spans="1:10" s="1215" customFormat="1" ht="14.1" customHeight="1">
      <c r="A67" s="1223" t="s">
        <v>1686</v>
      </c>
      <c r="B67" s="1224">
        <f>B48*B66</f>
        <v>5476357.6311596027</v>
      </c>
      <c r="D67" s="1222"/>
      <c r="E67" s="1222"/>
      <c r="F67" s="1222"/>
      <c r="G67" s="1222"/>
      <c r="H67" s="1222"/>
      <c r="I67" s="1222"/>
    </row>
    <row r="68" spans="1:10" s="1215" customFormat="1" ht="14.1" customHeight="1">
      <c r="D68" s="1222"/>
      <c r="E68" s="1222"/>
      <c r="F68" s="1222"/>
      <c r="G68" s="1222"/>
      <c r="H68" s="1222"/>
      <c r="I68" s="1222"/>
    </row>
    <row r="69" spans="1:10" s="1215" customFormat="1" ht="14.1" customHeight="1">
      <c r="B69" s="1225"/>
      <c r="D69" s="1222"/>
      <c r="E69" s="1222"/>
      <c r="F69" s="1222"/>
      <c r="G69" s="1222"/>
      <c r="H69" s="1222"/>
      <c r="I69" s="1222"/>
    </row>
    <row r="70" spans="1:10" s="1226" customFormat="1" ht="14.1" customHeight="1"/>
    <row r="71" spans="1:10" s="1197" customFormat="1" ht="14.1" customHeight="1">
      <c r="A71" s="1273" t="s">
        <v>1724</v>
      </c>
      <c r="B71" s="1227"/>
      <c r="C71" s="1227"/>
      <c r="D71" s="1227"/>
      <c r="E71" s="1227"/>
      <c r="F71" s="1227"/>
      <c r="G71" s="1227"/>
      <c r="H71" s="1227"/>
      <c r="I71" s="1227"/>
      <c r="J71" s="1228"/>
    </row>
    <row r="72" spans="1:10" s="1197" customFormat="1" ht="14.1" customHeight="1">
      <c r="A72" s="1229"/>
      <c r="B72" s="1228"/>
      <c r="C72" s="1228"/>
      <c r="J72" s="1228"/>
    </row>
    <row r="73" spans="1:10" s="1197" customFormat="1" ht="14.1" customHeight="1">
      <c r="A73" s="1230" t="s">
        <v>1664</v>
      </c>
      <c r="B73" s="1231"/>
      <c r="C73" s="1228"/>
      <c r="D73" s="1437" t="s">
        <v>1687</v>
      </c>
      <c r="E73" s="1438"/>
      <c r="F73" s="1438"/>
      <c r="G73" s="1438"/>
      <c r="H73" s="1438"/>
      <c r="I73" s="1439"/>
      <c r="J73" s="1228"/>
    </row>
    <row r="74" spans="1:10" s="1197" customFormat="1" ht="14.1" customHeight="1">
      <c r="A74" s="1231"/>
      <c r="B74" s="1231"/>
      <c r="C74" s="1228"/>
      <c r="D74" s="1440"/>
      <c r="E74" s="1441"/>
      <c r="F74" s="1441"/>
      <c r="G74" s="1441"/>
      <c r="H74" s="1441"/>
      <c r="I74" s="1442"/>
      <c r="J74" s="1228"/>
    </row>
    <row r="75" spans="1:10" s="1197" customFormat="1" ht="14.1" customHeight="1">
      <c r="A75" s="1232" t="s">
        <v>1688</v>
      </c>
      <c r="B75" s="1233">
        <f>ABS('Income Statement'!G31)</f>
        <v>1202234</v>
      </c>
      <c r="C75" s="1228"/>
      <c r="D75" s="1440"/>
      <c r="E75" s="1441"/>
      <c r="F75" s="1441"/>
      <c r="G75" s="1441"/>
      <c r="H75" s="1441"/>
      <c r="I75" s="1442"/>
      <c r="J75" s="1228"/>
    </row>
    <row r="76" spans="1:10" s="1197" customFormat="1" ht="14.1" customHeight="1">
      <c r="A76" s="1232" t="s">
        <v>1689</v>
      </c>
      <c r="B76" s="1233">
        <f>ABS('Income Statement'!G56)</f>
        <v>1200487</v>
      </c>
      <c r="C76" s="1228"/>
      <c r="D76" s="1440"/>
      <c r="E76" s="1441"/>
      <c r="F76" s="1441"/>
      <c r="G76" s="1441"/>
      <c r="H76" s="1441"/>
      <c r="I76" s="1442"/>
      <c r="J76" s="1228"/>
    </row>
    <row r="77" spans="1:10" s="1197" customFormat="1" ht="14.1" customHeight="1">
      <c r="A77" s="1232" t="s">
        <v>1690</v>
      </c>
      <c r="B77" s="1233">
        <f>ABS('Income Statement'!G58)</f>
        <v>120051</v>
      </c>
      <c r="C77" s="1228"/>
      <c r="D77" s="1440"/>
      <c r="E77" s="1441"/>
      <c r="F77" s="1441"/>
      <c r="G77" s="1441"/>
      <c r="H77" s="1441"/>
      <c r="I77" s="1442"/>
      <c r="J77" s="1228"/>
    </row>
    <row r="78" spans="1:10" s="1197" customFormat="1" ht="14.1" customHeight="1">
      <c r="A78" s="1234" t="s">
        <v>1691</v>
      </c>
      <c r="B78" s="1235">
        <f>ABS(B77/B76)</f>
        <v>0.100001915889135</v>
      </c>
      <c r="C78" s="1228"/>
      <c r="D78" s="1440"/>
      <c r="E78" s="1441"/>
      <c r="F78" s="1441"/>
      <c r="G78" s="1441"/>
      <c r="H78" s="1441"/>
      <c r="I78" s="1442"/>
      <c r="J78" s="1228"/>
    </row>
    <row r="79" spans="1:10" s="1197" customFormat="1" ht="14.1" customHeight="1">
      <c r="A79" s="1236" t="s">
        <v>1692</v>
      </c>
      <c r="B79" s="1237">
        <f>B78*B75</f>
        <v>120225.70334705833</v>
      </c>
      <c r="C79" s="1228"/>
      <c r="D79" s="1440"/>
      <c r="E79" s="1441"/>
      <c r="F79" s="1441"/>
      <c r="G79" s="1441"/>
      <c r="H79" s="1441"/>
      <c r="I79" s="1442"/>
      <c r="J79" s="1228"/>
    </row>
    <row r="80" spans="1:10" s="1197" customFormat="1" ht="14.1" customHeight="1">
      <c r="A80" s="1238" t="s">
        <v>1693</v>
      </c>
      <c r="B80" s="1239">
        <f>B75-B79</f>
        <v>1082008.2966529417</v>
      </c>
      <c r="C80" s="1228"/>
      <c r="D80" s="1440"/>
      <c r="E80" s="1441"/>
      <c r="F80" s="1441"/>
      <c r="G80" s="1441"/>
      <c r="H80" s="1441"/>
      <c r="I80" s="1442"/>
      <c r="J80" s="1228"/>
    </row>
    <row r="81" spans="1:10" ht="14.1" customHeight="1">
      <c r="A81" s="1228"/>
      <c r="B81" s="1228"/>
      <c r="C81" s="1240"/>
      <c r="D81" s="1440"/>
      <c r="E81" s="1441"/>
      <c r="F81" s="1441"/>
      <c r="G81" s="1441"/>
      <c r="H81" s="1441"/>
      <c r="I81" s="1442"/>
      <c r="J81" s="1240"/>
    </row>
    <row r="82" spans="1:10" ht="14.1" customHeight="1">
      <c r="A82" s="1241" t="s">
        <v>1694</v>
      </c>
      <c r="C82" s="1240"/>
      <c r="D82" s="1440"/>
      <c r="E82" s="1441"/>
      <c r="F82" s="1441"/>
      <c r="G82" s="1441"/>
      <c r="H82" s="1441"/>
      <c r="I82" s="1442"/>
      <c r="J82" s="1240"/>
    </row>
    <row r="83" spans="1:10" ht="14.1" customHeight="1">
      <c r="A83" s="1199" t="s">
        <v>1695</v>
      </c>
      <c r="B83" s="1200">
        <f>'Balance Sheet'!G11</f>
        <v>316920</v>
      </c>
      <c r="C83" s="1240"/>
      <c r="D83" s="1440"/>
      <c r="E83" s="1441"/>
      <c r="F83" s="1441"/>
      <c r="G83" s="1441"/>
      <c r="H83" s="1441"/>
      <c r="I83" s="1442"/>
      <c r="J83" s="1240"/>
    </row>
    <row r="84" spans="1:10" ht="14.1" customHeight="1">
      <c r="A84" s="1199" t="s">
        <v>1696</v>
      </c>
      <c r="B84" s="1200">
        <f>ABS('Income Statement'!G28)</f>
        <v>142000</v>
      </c>
      <c r="C84" s="1240"/>
      <c r="D84" s="1440"/>
      <c r="E84" s="1441"/>
      <c r="F84" s="1441"/>
      <c r="G84" s="1441"/>
      <c r="H84" s="1441"/>
      <c r="I84" s="1442"/>
      <c r="J84" s="1240"/>
    </row>
    <row r="85" spans="1:10" ht="14.1" customHeight="1">
      <c r="A85" s="1241"/>
      <c r="C85" s="1240"/>
      <c r="D85" s="1440"/>
      <c r="E85" s="1441"/>
      <c r="F85" s="1441"/>
      <c r="G85" s="1441"/>
      <c r="H85" s="1441"/>
      <c r="I85" s="1442"/>
      <c r="J85" s="1240"/>
    </row>
    <row r="86" spans="1:10" ht="14.1" customHeight="1">
      <c r="A86" s="1197" t="s">
        <v>1697</v>
      </c>
      <c r="B86" s="1242">
        <f>IF(B83=0,0,B84/B83)</f>
        <v>0.44806260254953933</v>
      </c>
      <c r="C86" s="1240"/>
      <c r="D86" s="1440"/>
      <c r="E86" s="1441"/>
      <c r="F86" s="1441"/>
      <c r="G86" s="1441"/>
      <c r="H86" s="1441"/>
      <c r="I86" s="1442"/>
      <c r="J86" s="1240"/>
    </row>
    <row r="87" spans="1:10" ht="14.1" customHeight="1">
      <c r="A87" s="1197" t="s">
        <v>1698</v>
      </c>
      <c r="B87" s="1243">
        <f>IF(B86=0,0,1/B86)</f>
        <v>2.2318309859154928</v>
      </c>
      <c r="C87" s="1244" t="s">
        <v>1699</v>
      </c>
      <c r="D87" s="1440"/>
      <c r="E87" s="1441"/>
      <c r="F87" s="1441"/>
      <c r="G87" s="1441"/>
      <c r="H87" s="1441"/>
      <c r="I87" s="1442"/>
      <c r="J87" s="1240"/>
    </row>
    <row r="88" spans="1:10" ht="14.1" customHeight="1">
      <c r="A88" s="1199" t="s">
        <v>1700</v>
      </c>
      <c r="B88" s="1200">
        <v>500000</v>
      </c>
      <c r="D88" s="1440"/>
      <c r="E88" s="1441"/>
      <c r="F88" s="1441"/>
      <c r="G88" s="1441"/>
      <c r="H88" s="1441"/>
      <c r="I88" s="1442"/>
      <c r="J88" s="1240"/>
    </row>
    <row r="89" spans="1:10" s="1197" customFormat="1" ht="14.1" customHeight="1">
      <c r="A89" s="1260" t="s">
        <v>1701</v>
      </c>
      <c r="B89" s="1261">
        <f>B86*B88</f>
        <v>224031.30127476968</v>
      </c>
      <c r="D89" s="1443"/>
      <c r="E89" s="1444"/>
      <c r="F89" s="1444"/>
      <c r="G89" s="1444"/>
      <c r="H89" s="1444"/>
      <c r="I89" s="1445"/>
      <c r="J89" s="1228"/>
    </row>
    <row r="90" spans="1:10" s="1197" customFormat="1" ht="14.1" customHeight="1">
      <c r="A90" s="1205" t="s">
        <v>1702</v>
      </c>
      <c r="B90" s="1206">
        <f>B80-B89</f>
        <v>857976.99537817203</v>
      </c>
    </row>
    <row r="92" spans="1:10" ht="14.1" customHeight="1">
      <c r="A92" s="1241" t="s">
        <v>1703</v>
      </c>
    </row>
    <row r="93" spans="1:10" ht="14.1" customHeight="1">
      <c r="A93" s="1199" t="s">
        <v>1704</v>
      </c>
      <c r="B93" s="1246">
        <v>0.8</v>
      </c>
    </row>
    <row r="95" spans="1:10" ht="14.1" customHeight="1">
      <c r="A95" s="1205" t="s">
        <v>1672</v>
      </c>
      <c r="B95" s="1206">
        <f>B93*B90</f>
        <v>686381.59630253771</v>
      </c>
    </row>
    <row r="98" spans="1:3" ht="14.1" customHeight="1">
      <c r="A98" s="1198" t="s">
        <v>1673</v>
      </c>
      <c r="C98" s="1197"/>
    </row>
    <row r="99" spans="1:3" ht="14.1" customHeight="1">
      <c r="C99" s="1197"/>
    </row>
    <row r="100" spans="1:3" ht="14.1" customHeight="1">
      <c r="A100" s="1199" t="s">
        <v>1674</v>
      </c>
      <c r="B100" s="1210" t="s">
        <v>1675</v>
      </c>
      <c r="C100" s="1197"/>
    </row>
    <row r="101" spans="1:3" ht="14.1" customHeight="1">
      <c r="A101" s="1211" t="s">
        <v>1677</v>
      </c>
      <c r="B101" s="1212">
        <v>20</v>
      </c>
      <c r="C101" s="1244" t="s">
        <v>1699</v>
      </c>
    </row>
    <row r="102" spans="1:3" ht="14.1" customHeight="1">
      <c r="A102" s="1213" t="s">
        <v>1678</v>
      </c>
      <c r="B102" s="1214" t="s">
        <v>1675</v>
      </c>
    </row>
    <row r="103" spans="1:3" ht="14.1" customHeight="1">
      <c r="A103" s="1216" t="s">
        <v>1679</v>
      </c>
      <c r="B103" s="1217">
        <f>'Other input data'!B26</f>
        <v>0.06</v>
      </c>
      <c r="C103" s="1244" t="s">
        <v>1676</v>
      </c>
    </row>
    <row r="104" spans="1:3" ht="14.1" customHeight="1">
      <c r="A104" s="1215"/>
      <c r="B104" s="1215"/>
    </row>
    <row r="105" spans="1:3" ht="14.1" customHeight="1">
      <c r="A105" s="1213" t="s">
        <v>1680</v>
      </c>
      <c r="B105" s="1218">
        <f>WACC!C14</f>
        <v>0.16534855279249897</v>
      </c>
      <c r="C105" s="1207" t="s">
        <v>1676</v>
      </c>
    </row>
    <row r="106" spans="1:3" ht="14.1" customHeight="1">
      <c r="A106" s="1213" t="s">
        <v>1681</v>
      </c>
      <c r="B106" s="1214" t="s">
        <v>1675</v>
      </c>
      <c r="C106" s="1215"/>
    </row>
    <row r="107" spans="1:3" ht="14.1" customHeight="1">
      <c r="A107" s="1216" t="s">
        <v>1682</v>
      </c>
      <c r="B107" s="1217">
        <v>0.1</v>
      </c>
      <c r="C107" s="1207" t="s">
        <v>1676</v>
      </c>
    </row>
    <row r="108" spans="1:3" ht="14.1" customHeight="1">
      <c r="A108" s="1219" t="s">
        <v>1683</v>
      </c>
      <c r="B108" s="1220">
        <f>IF(B106="YES",B105,B107)</f>
        <v>0.16534855279249897</v>
      </c>
      <c r="C108" s="1207" t="s">
        <v>1676</v>
      </c>
    </row>
    <row r="109" spans="1:3" ht="14.1" customHeight="1">
      <c r="C109" s="1215"/>
    </row>
    <row r="110" spans="1:3" ht="14.1" customHeight="1">
      <c r="C110" s="1215"/>
    </row>
    <row r="111" spans="1:3" ht="14.1" customHeight="1">
      <c r="A111" s="1221" t="s">
        <v>1684</v>
      </c>
      <c r="B111" s="1217"/>
      <c r="C111" s="1215"/>
    </row>
    <row r="112" spans="1:3" ht="14.1" customHeight="1">
      <c r="A112" s="1215"/>
      <c r="B112" s="1217"/>
      <c r="C112" s="1215"/>
    </row>
    <row r="113" spans="1:9" s="1197" customFormat="1" ht="14.1" customHeight="1">
      <c r="A113" s="1215" t="s">
        <v>1685</v>
      </c>
      <c r="B113" s="1269">
        <f>IF(B100="YES",IF(B102="YES",1/(B108-B103)*(1-((1+B103)/(1+B108))^B101),(1-(1+B108)^(-B101))/B108),IF(B102="YES",1/(B108-B103),1/B108))</f>
        <v>8.0654704223927407</v>
      </c>
      <c r="C113" s="1215"/>
    </row>
    <row r="114" spans="1:9" ht="14.1" customHeight="1">
      <c r="A114" s="1223" t="s">
        <v>1705</v>
      </c>
      <c r="B114" s="1224">
        <f>B95*B113</f>
        <v>5535990.4634528328</v>
      </c>
      <c r="C114" s="1215"/>
    </row>
    <row r="115" spans="1:9" ht="14.1" customHeight="1">
      <c r="C115" s="1215"/>
    </row>
    <row r="116" spans="1:9" ht="14.1" customHeight="1">
      <c r="A116" s="1240"/>
      <c r="B116" s="1247"/>
    </row>
    <row r="118" spans="1:9" s="1197" customFormat="1" ht="14.1" customHeight="1">
      <c r="A118" s="1272" t="s">
        <v>1725</v>
      </c>
      <c r="B118" s="1196"/>
      <c r="C118" s="1196"/>
      <c r="D118" s="1196"/>
      <c r="E118" s="1196"/>
      <c r="F118" s="1196"/>
      <c r="G118" s="1196"/>
      <c r="H118" s="1196"/>
      <c r="I118" s="1196"/>
    </row>
    <row r="119" spans="1:9" s="1197" customFormat="1" ht="14.1" customHeight="1">
      <c r="A119" s="1248"/>
    </row>
    <row r="120" spans="1:9" s="1197" customFormat="1" ht="14.1" customHeight="1">
      <c r="A120" s="1230" t="s">
        <v>1664</v>
      </c>
      <c r="D120" s="1446" t="s">
        <v>1706</v>
      </c>
      <c r="E120" s="1447"/>
      <c r="F120" s="1447"/>
      <c r="G120" s="1447"/>
      <c r="H120" s="1447"/>
      <c r="I120" s="1448"/>
    </row>
    <row r="121" spans="1:9" s="1197" customFormat="1" ht="14.1" customHeight="1">
      <c r="A121" s="1248"/>
      <c r="D121" s="1449"/>
      <c r="E121" s="1450"/>
      <c r="F121" s="1450"/>
      <c r="G121" s="1450"/>
      <c r="H121" s="1450"/>
      <c r="I121" s="1451"/>
    </row>
    <row r="122" spans="1:9" s="1197" customFormat="1" ht="14.1" customHeight="1">
      <c r="A122" s="1232" t="s">
        <v>1688</v>
      </c>
      <c r="B122" s="1233">
        <f>ABS('Income Statement'!G31)</f>
        <v>1202234</v>
      </c>
      <c r="D122" s="1449"/>
      <c r="E122" s="1450"/>
      <c r="F122" s="1450"/>
      <c r="G122" s="1450"/>
      <c r="H122" s="1450"/>
      <c r="I122" s="1451"/>
    </row>
    <row r="123" spans="1:9" s="1197" customFormat="1" ht="14.1" customHeight="1">
      <c r="A123" s="1232" t="s">
        <v>1689</v>
      </c>
      <c r="B123" s="1233">
        <f>ABS('Income Statement'!G56)</f>
        <v>1200487</v>
      </c>
      <c r="D123" s="1449"/>
      <c r="E123" s="1450"/>
      <c r="F123" s="1450"/>
      <c r="G123" s="1450"/>
      <c r="H123" s="1450"/>
      <c r="I123" s="1451"/>
    </row>
    <row r="124" spans="1:9" s="1197" customFormat="1" ht="14.1" customHeight="1">
      <c r="A124" s="1232" t="s">
        <v>1690</v>
      </c>
      <c r="B124" s="1233">
        <f>ABS('Income Statement'!G58)</f>
        <v>120051</v>
      </c>
      <c r="D124" s="1449"/>
      <c r="E124" s="1450"/>
      <c r="F124" s="1450"/>
      <c r="G124" s="1450"/>
      <c r="H124" s="1450"/>
      <c r="I124" s="1451"/>
    </row>
    <row r="125" spans="1:9" s="1197" customFormat="1" ht="14.1" customHeight="1">
      <c r="A125" s="1234" t="s">
        <v>1691</v>
      </c>
      <c r="B125" s="1235">
        <f>B124/B123</f>
        <v>0.100001915889135</v>
      </c>
      <c r="D125" s="1449"/>
      <c r="E125" s="1450"/>
      <c r="F125" s="1450"/>
      <c r="G125" s="1450"/>
      <c r="H125" s="1450"/>
      <c r="I125" s="1451"/>
    </row>
    <row r="126" spans="1:9" s="1197" customFormat="1" ht="14.1" customHeight="1">
      <c r="A126" s="1236" t="s">
        <v>1692</v>
      </c>
      <c r="B126" s="1237">
        <f>B125*B122</f>
        <v>120225.70334705833</v>
      </c>
      <c r="D126" s="1449"/>
      <c r="E126" s="1450"/>
      <c r="F126" s="1450"/>
      <c r="G126" s="1450"/>
      <c r="H126" s="1450"/>
      <c r="I126" s="1451"/>
    </row>
    <row r="127" spans="1:9" s="1197" customFormat="1" ht="14.1" customHeight="1">
      <c r="A127" s="1238" t="s">
        <v>1693</v>
      </c>
      <c r="B127" s="1239">
        <f>B122-B126</f>
        <v>1082008.2966529417</v>
      </c>
      <c r="D127" s="1449"/>
      <c r="E127" s="1450"/>
      <c r="F127" s="1450"/>
      <c r="G127" s="1450"/>
      <c r="H127" s="1450"/>
      <c r="I127" s="1451"/>
    </row>
    <row r="128" spans="1:9" s="1197" customFormat="1" ht="14.1" customHeight="1">
      <c r="D128" s="1449"/>
      <c r="E128" s="1450"/>
      <c r="F128" s="1450"/>
      <c r="G128" s="1450"/>
      <c r="H128" s="1450"/>
      <c r="I128" s="1451"/>
    </row>
    <row r="129" spans="1:9" s="1197" customFormat="1" ht="14.1" customHeight="1">
      <c r="A129" s="1241" t="s">
        <v>1707</v>
      </c>
      <c r="B129" s="1194"/>
      <c r="D129" s="1449"/>
      <c r="E129" s="1450"/>
      <c r="F129" s="1450"/>
      <c r="G129" s="1450"/>
      <c r="H129" s="1450"/>
      <c r="I129" s="1451"/>
    </row>
    <row r="130" spans="1:9" s="1197" customFormat="1" ht="14.1" customHeight="1">
      <c r="A130" s="1199" t="s">
        <v>1695</v>
      </c>
      <c r="B130" s="1200">
        <f>'Balance Sheet'!G11</f>
        <v>316920</v>
      </c>
      <c r="D130" s="1449"/>
      <c r="E130" s="1450"/>
      <c r="F130" s="1450"/>
      <c r="G130" s="1450"/>
      <c r="H130" s="1450"/>
      <c r="I130" s="1451"/>
    </row>
    <row r="131" spans="1:9" s="1197" customFormat="1" ht="14.1" customHeight="1">
      <c r="A131" s="1199" t="s">
        <v>1708</v>
      </c>
      <c r="B131" s="1200">
        <f>'Balance Sheet'!G14</f>
        <v>0</v>
      </c>
      <c r="D131" s="1449"/>
      <c r="E131" s="1450"/>
      <c r="F131" s="1450"/>
      <c r="G131" s="1450"/>
      <c r="H131" s="1450"/>
      <c r="I131" s="1451"/>
    </row>
    <row r="132" spans="1:9" s="1197" customFormat="1" ht="14.1" customHeight="1">
      <c r="A132" s="1197" t="s">
        <v>1709</v>
      </c>
      <c r="B132" s="1249">
        <f>B130+B131</f>
        <v>316920</v>
      </c>
      <c r="D132" s="1452"/>
      <c r="E132" s="1453"/>
      <c r="F132" s="1453"/>
      <c r="G132" s="1453"/>
      <c r="H132" s="1453"/>
      <c r="I132" s="1454"/>
    </row>
    <row r="133" spans="1:9" s="1197" customFormat="1" ht="14.1" customHeight="1">
      <c r="A133" s="1194"/>
      <c r="B133" s="1194"/>
      <c r="D133" s="1250"/>
      <c r="E133" s="1250"/>
      <c r="F133" s="1250"/>
      <c r="G133" s="1250"/>
      <c r="H133" s="1250"/>
      <c r="I133" s="1250"/>
    </row>
    <row r="134" spans="1:9" s="1197" customFormat="1" ht="14.1" customHeight="1">
      <c r="A134" s="1241" t="s">
        <v>1710</v>
      </c>
      <c r="B134" s="1194"/>
      <c r="D134" s="1250"/>
      <c r="E134" s="1250"/>
      <c r="F134" s="1250"/>
      <c r="G134" s="1250"/>
      <c r="H134" s="1250"/>
      <c r="I134" s="1250"/>
    </row>
    <row r="135" spans="1:9" s="1197" customFormat="1" ht="14.1" customHeight="1">
      <c r="A135" s="1199" t="s">
        <v>1696</v>
      </c>
      <c r="B135" s="1200">
        <f>ABS('Income Statement'!G28)</f>
        <v>142000</v>
      </c>
      <c r="D135" s="1250"/>
      <c r="E135" s="1250"/>
      <c r="F135" s="1250"/>
      <c r="G135" s="1250"/>
      <c r="H135" s="1250"/>
      <c r="I135" s="1250"/>
    </row>
    <row r="136" spans="1:9" s="1197" customFormat="1" ht="14.1" customHeight="1">
      <c r="A136" s="1199" t="s">
        <v>1711</v>
      </c>
      <c r="B136" s="1200">
        <f>ABS('Income Statement'!G29)</f>
        <v>0</v>
      </c>
      <c r="D136" s="1250"/>
      <c r="E136" s="1250"/>
      <c r="F136" s="1250"/>
      <c r="G136" s="1250"/>
      <c r="H136" s="1250"/>
      <c r="I136" s="1250"/>
    </row>
    <row r="137" spans="1:9" s="1197" customFormat="1" ht="14.1" customHeight="1">
      <c r="A137" s="1197" t="s">
        <v>1712</v>
      </c>
      <c r="B137" s="1249">
        <f>B135+B136</f>
        <v>142000</v>
      </c>
      <c r="D137" s="1250"/>
      <c r="E137" s="1250"/>
      <c r="F137" s="1250"/>
      <c r="G137" s="1250"/>
      <c r="H137" s="1250"/>
      <c r="I137" s="1250"/>
    </row>
    <row r="138" spans="1:9" s="1197" customFormat="1" ht="14.1" customHeight="1">
      <c r="A138" s="1194"/>
      <c r="B138" s="1194"/>
      <c r="D138" s="1250"/>
      <c r="E138" s="1250"/>
      <c r="F138" s="1250"/>
      <c r="G138" s="1250"/>
      <c r="H138" s="1250"/>
      <c r="I138" s="1250"/>
    </row>
    <row r="139" spans="1:9" s="1197" customFormat="1" ht="14.1" customHeight="1">
      <c r="A139" s="1197" t="s">
        <v>1697</v>
      </c>
      <c r="B139" s="1242">
        <f>IF(B130=0,0,B135/B130)</f>
        <v>0.44806260254953933</v>
      </c>
      <c r="D139" s="1250"/>
      <c r="E139" s="1250"/>
      <c r="F139" s="1250"/>
      <c r="G139" s="1250"/>
      <c r="H139" s="1250"/>
      <c r="I139" s="1250"/>
    </row>
    <row r="140" spans="1:9" s="1197" customFormat="1" ht="14.1" customHeight="1">
      <c r="A140" s="1197" t="s">
        <v>1698</v>
      </c>
      <c r="B140" s="1243">
        <f>IF(B139=0,0,1/B139)</f>
        <v>2.2318309859154928</v>
      </c>
      <c r="C140" s="1251" t="s">
        <v>1699</v>
      </c>
      <c r="D140" s="1250"/>
      <c r="E140" s="1250"/>
      <c r="F140" s="1250"/>
      <c r="G140" s="1250"/>
      <c r="H140" s="1250"/>
      <c r="I140" s="1250"/>
    </row>
    <row r="141" spans="1:9" s="1197" customFormat="1" ht="14.1" customHeight="1">
      <c r="A141" s="1197" t="s">
        <v>1713</v>
      </c>
      <c r="B141" s="1242">
        <f>IF(B131=0,0,B136/B131)</f>
        <v>0</v>
      </c>
      <c r="D141" s="1250"/>
      <c r="E141" s="1250"/>
      <c r="F141" s="1250"/>
      <c r="G141" s="1250"/>
      <c r="H141" s="1250"/>
      <c r="I141" s="1250"/>
    </row>
    <row r="142" spans="1:9" s="1197" customFormat="1" ht="14.1" customHeight="1">
      <c r="A142" s="1197" t="s">
        <v>1714</v>
      </c>
      <c r="B142" s="1243">
        <f>IF(B141=0,0,1/B141)</f>
        <v>0</v>
      </c>
      <c r="C142" s="1251" t="s">
        <v>1699</v>
      </c>
      <c r="D142" s="1250"/>
      <c r="E142" s="1250"/>
      <c r="F142" s="1250"/>
      <c r="G142" s="1250"/>
      <c r="H142" s="1250"/>
      <c r="I142" s="1250"/>
    </row>
    <row r="143" spans="1:9" s="1197" customFormat="1" ht="14.1" customHeight="1">
      <c r="A143" s="1199" t="s">
        <v>1700</v>
      </c>
      <c r="B143" s="1200">
        <v>500000</v>
      </c>
      <c r="D143" s="1250"/>
      <c r="E143" s="1250"/>
      <c r="F143" s="1250"/>
      <c r="G143" s="1250"/>
      <c r="H143" s="1250"/>
      <c r="I143" s="1250"/>
    </row>
    <row r="144" spans="1:9" s="1197" customFormat="1" ht="14.1" customHeight="1">
      <c r="A144" s="1199" t="s">
        <v>1715</v>
      </c>
      <c r="B144" s="1200">
        <v>20000</v>
      </c>
      <c r="D144" s="1250"/>
      <c r="E144" s="1250"/>
      <c r="F144" s="1250"/>
      <c r="G144" s="1250"/>
      <c r="H144" s="1250"/>
      <c r="I144" s="1250"/>
    </row>
    <row r="145" spans="1:9" s="1197" customFormat="1" ht="14.1" customHeight="1">
      <c r="A145" s="1213" t="s">
        <v>1701</v>
      </c>
      <c r="B145" s="1259">
        <f>B139*B143</f>
        <v>224031.30127476968</v>
      </c>
      <c r="D145" s="1250"/>
      <c r="E145" s="1250"/>
      <c r="F145" s="1250"/>
      <c r="G145" s="1250"/>
      <c r="H145" s="1250"/>
      <c r="I145" s="1250"/>
    </row>
    <row r="146" spans="1:9" s="1197" customFormat="1" ht="14.1" customHeight="1">
      <c r="A146" s="1213" t="s">
        <v>1716</v>
      </c>
      <c r="B146" s="1259">
        <f>B141*B144</f>
        <v>0</v>
      </c>
      <c r="D146" s="1250"/>
      <c r="E146" s="1250"/>
      <c r="F146" s="1250"/>
      <c r="G146" s="1250"/>
      <c r="H146" s="1250"/>
      <c r="I146" s="1250"/>
    </row>
    <row r="147" spans="1:9" s="1197" customFormat="1" ht="14.1" customHeight="1">
      <c r="A147" s="1219" t="s">
        <v>1717</v>
      </c>
      <c r="B147" s="1252">
        <f>B145+B146</f>
        <v>224031.30127476968</v>
      </c>
      <c r="D147" s="1250"/>
      <c r="E147" s="1250"/>
      <c r="F147" s="1250"/>
      <c r="G147" s="1250"/>
      <c r="H147" s="1250"/>
      <c r="I147" s="1250"/>
    </row>
    <row r="148" spans="1:9" s="1197" customFormat="1" ht="14.1" customHeight="1">
      <c r="A148" s="1194"/>
      <c r="B148" s="1202"/>
      <c r="D148" s="1250"/>
      <c r="E148" s="1250"/>
      <c r="F148" s="1250"/>
      <c r="G148" s="1250"/>
      <c r="H148" s="1250"/>
      <c r="I148" s="1250"/>
    </row>
    <row r="149" spans="1:9" s="1197" customFormat="1" ht="14.1" customHeight="1">
      <c r="A149" s="1205" t="s">
        <v>1672</v>
      </c>
      <c r="B149" s="1206">
        <f>B80-B147</f>
        <v>857976.99537817203</v>
      </c>
      <c r="D149" s="1250"/>
      <c r="E149" s="1250"/>
      <c r="F149" s="1250"/>
      <c r="G149" s="1250"/>
      <c r="H149" s="1250"/>
      <c r="I149" s="1250"/>
    </row>
    <row r="150" spans="1:9" s="1197" customFormat="1" ht="14.1" customHeight="1">
      <c r="A150" s="1194"/>
      <c r="B150" s="1194"/>
      <c r="D150" s="1250"/>
      <c r="E150" s="1250"/>
      <c r="F150" s="1250"/>
      <c r="G150" s="1250"/>
      <c r="H150" s="1250"/>
      <c r="I150" s="1250"/>
    </row>
    <row r="151" spans="1:9" s="1197" customFormat="1" ht="14.1" customHeight="1">
      <c r="A151" s="1194"/>
      <c r="B151" s="1194"/>
      <c r="D151" s="1250"/>
      <c r="E151" s="1250"/>
      <c r="F151" s="1250"/>
      <c r="G151" s="1250"/>
      <c r="H151" s="1250"/>
      <c r="I151" s="1250"/>
    </row>
    <row r="152" spans="1:9" s="1197" customFormat="1" ht="14.1" customHeight="1">
      <c r="A152" s="1198" t="s">
        <v>1673</v>
      </c>
      <c r="B152" s="1194"/>
      <c r="D152" s="1250"/>
      <c r="E152" s="1250"/>
      <c r="F152" s="1250"/>
      <c r="G152" s="1250"/>
      <c r="H152" s="1250"/>
      <c r="I152" s="1250"/>
    </row>
    <row r="153" spans="1:9" s="1197" customFormat="1" ht="14.1" customHeight="1">
      <c r="A153" s="1194"/>
      <c r="B153" s="1194"/>
      <c r="D153" s="1250"/>
      <c r="E153" s="1250"/>
      <c r="F153" s="1250"/>
      <c r="G153" s="1250"/>
      <c r="H153" s="1250"/>
      <c r="I153" s="1250"/>
    </row>
    <row r="154" spans="1:9" s="1197" customFormat="1" ht="14.1" customHeight="1">
      <c r="A154" s="1199" t="s">
        <v>1674</v>
      </c>
      <c r="B154" s="1210" t="s">
        <v>1675</v>
      </c>
    </row>
    <row r="155" spans="1:9" s="1197" customFormat="1" ht="14.1" customHeight="1">
      <c r="A155" s="1211" t="s">
        <v>1677</v>
      </c>
      <c r="B155" s="1212">
        <v>20</v>
      </c>
      <c r="C155" s="1244" t="s">
        <v>1699</v>
      </c>
    </row>
    <row r="156" spans="1:9" s="1197" customFormat="1" ht="14.1" customHeight="1">
      <c r="A156" s="1213" t="s">
        <v>1678</v>
      </c>
      <c r="B156" s="1214" t="s">
        <v>1675</v>
      </c>
      <c r="C156" s="1194"/>
    </row>
    <row r="157" spans="1:9" s="1197" customFormat="1" ht="14.1" customHeight="1">
      <c r="A157" s="1216" t="s">
        <v>1679</v>
      </c>
      <c r="B157" s="1217">
        <f>'Other input data'!B26</f>
        <v>0.06</v>
      </c>
      <c r="C157" s="1244" t="s">
        <v>1676</v>
      </c>
    </row>
    <row r="158" spans="1:9" s="1197" customFormat="1" ht="14.1" customHeight="1">
      <c r="A158" s="1215"/>
      <c r="B158" s="1215"/>
      <c r="C158" s="1194"/>
    </row>
    <row r="159" spans="1:9" s="1197" customFormat="1" ht="14.1" customHeight="1">
      <c r="A159" s="1213" t="s">
        <v>1680</v>
      </c>
      <c r="B159" s="1218">
        <f>WACC!C14</f>
        <v>0.16534855279249897</v>
      </c>
      <c r="C159" s="1207" t="s">
        <v>1676</v>
      </c>
    </row>
    <row r="160" spans="1:9" s="1197" customFormat="1" ht="14.1" customHeight="1">
      <c r="A160" s="1213" t="s">
        <v>1681</v>
      </c>
      <c r="B160" s="1214" t="s">
        <v>1675</v>
      </c>
      <c r="C160" s="1215"/>
    </row>
    <row r="161" spans="1:9" s="1197" customFormat="1" ht="14.1" customHeight="1">
      <c r="A161" s="1216" t="s">
        <v>1682</v>
      </c>
      <c r="B161" s="1217">
        <v>0.1</v>
      </c>
      <c r="C161" s="1207" t="s">
        <v>1676</v>
      </c>
    </row>
    <row r="162" spans="1:9" s="1197" customFormat="1" ht="14.1" customHeight="1">
      <c r="A162" s="1219" t="s">
        <v>1683</v>
      </c>
      <c r="B162" s="1220">
        <f>IF(B160="YES",B159,B161)</f>
        <v>0.16534855279249897</v>
      </c>
      <c r="C162" s="1207" t="s">
        <v>1676</v>
      </c>
    </row>
    <row r="163" spans="1:9" s="1197" customFormat="1" ht="14.1" customHeight="1">
      <c r="A163" s="1215"/>
      <c r="B163" s="1217"/>
      <c r="C163" s="1194"/>
    </row>
    <row r="164" spans="1:9" s="1197" customFormat="1" ht="14.1" customHeight="1">
      <c r="A164" s="1215"/>
      <c r="B164" s="1217"/>
      <c r="C164" s="1207"/>
    </row>
    <row r="165" spans="1:9" s="1197" customFormat="1" ht="14.1" customHeight="1">
      <c r="A165" s="1221" t="s">
        <v>1684</v>
      </c>
      <c r="B165" s="1217"/>
      <c r="C165" s="1207"/>
    </row>
    <row r="166" spans="1:9" s="1197" customFormat="1" ht="14.1" customHeight="1">
      <c r="A166" s="1215"/>
      <c r="B166" s="1217"/>
    </row>
    <row r="167" spans="1:9" s="1197" customFormat="1" ht="14.1" customHeight="1">
      <c r="A167" s="1215" t="s">
        <v>1685</v>
      </c>
      <c r="B167" s="1269">
        <f>IF(B154="YES",IF(B156="YES",1/(B162-B157)*(1-((1+B157)/(1+B162))^B155),(1-(1+B162)^(-B155))/B162),IF(B156="YES",1/(B162-B157),1/B162))</f>
        <v>8.0654704223927407</v>
      </c>
    </row>
    <row r="168" spans="1:9" s="1197" customFormat="1" ht="14.1" customHeight="1">
      <c r="A168" s="1223" t="s">
        <v>1705</v>
      </c>
      <c r="B168" s="1224">
        <f>B149*B167</f>
        <v>6919988.0793160396</v>
      </c>
    </row>
    <row r="169" spans="1:9" s="1197" customFormat="1" ht="14.1" customHeight="1"/>
    <row r="170" spans="1:9" s="1197" customFormat="1" ht="14.1" customHeight="1"/>
    <row r="171" spans="1:9" s="1197" customFormat="1" ht="14.1" customHeight="1"/>
    <row r="172" spans="1:9" s="1197" customFormat="1" ht="14.1" customHeight="1">
      <c r="A172" s="1272" t="s">
        <v>1726</v>
      </c>
      <c r="B172" s="1196"/>
      <c r="C172" s="1196"/>
      <c r="D172" s="1196"/>
      <c r="E172" s="1196"/>
      <c r="F172" s="1196"/>
      <c r="G172" s="1196"/>
      <c r="H172" s="1196"/>
      <c r="I172" s="1196"/>
    </row>
    <row r="173" spans="1:9" s="1197" customFormat="1" ht="14.1" customHeight="1"/>
    <row r="174" spans="1:9" s="1197" customFormat="1" ht="14.1" customHeight="1">
      <c r="A174" s="1230" t="s">
        <v>1664</v>
      </c>
      <c r="D174" s="1437" t="s">
        <v>1718</v>
      </c>
      <c r="E174" s="1438"/>
      <c r="F174" s="1438"/>
      <c r="G174" s="1438"/>
      <c r="H174" s="1438"/>
      <c r="I174" s="1439"/>
    </row>
    <row r="175" spans="1:9" s="1197" customFormat="1" ht="14.1" customHeight="1">
      <c r="A175" s="1248"/>
      <c r="D175" s="1440"/>
      <c r="E175" s="1441"/>
      <c r="F175" s="1441"/>
      <c r="G175" s="1441"/>
      <c r="H175" s="1441"/>
      <c r="I175" s="1442"/>
    </row>
    <row r="176" spans="1:9" s="1197" customFormat="1" ht="14.1" customHeight="1">
      <c r="A176" s="1232" t="s">
        <v>1688</v>
      </c>
      <c r="B176" s="1262">
        <f>ABS('Income Statement'!G31)</f>
        <v>1202234</v>
      </c>
      <c r="D176" s="1440"/>
      <c r="E176" s="1441"/>
      <c r="F176" s="1441"/>
      <c r="G176" s="1441"/>
      <c r="H176" s="1441"/>
      <c r="I176" s="1442"/>
    </row>
    <row r="177" spans="1:9" s="1197" customFormat="1" ht="14.1" customHeight="1">
      <c r="A177" s="1232" t="s">
        <v>1689</v>
      </c>
      <c r="B177" s="1262">
        <f>ABS('Income Statement'!G56)</f>
        <v>1200487</v>
      </c>
      <c r="D177" s="1440"/>
      <c r="E177" s="1441"/>
      <c r="F177" s="1441"/>
      <c r="G177" s="1441"/>
      <c r="H177" s="1441"/>
      <c r="I177" s="1442"/>
    </row>
    <row r="178" spans="1:9" s="1197" customFormat="1" ht="14.1" customHeight="1">
      <c r="A178" s="1232" t="s">
        <v>1690</v>
      </c>
      <c r="B178" s="1262">
        <f>ABS('Income Statement'!G58)</f>
        <v>120051</v>
      </c>
      <c r="D178" s="1440"/>
      <c r="E178" s="1441"/>
      <c r="F178" s="1441"/>
      <c r="G178" s="1441"/>
      <c r="H178" s="1441"/>
      <c r="I178" s="1442"/>
    </row>
    <row r="179" spans="1:9" s="1197" customFormat="1" ht="14.1" customHeight="1">
      <c r="A179" s="1234" t="s">
        <v>1691</v>
      </c>
      <c r="B179" s="1263">
        <f>B178/B177</f>
        <v>0.100001915889135</v>
      </c>
      <c r="D179" s="1440"/>
      <c r="E179" s="1441"/>
      <c r="F179" s="1441"/>
      <c r="G179" s="1441"/>
      <c r="H179" s="1441"/>
      <c r="I179" s="1442"/>
    </row>
    <row r="180" spans="1:9" s="1197" customFormat="1" ht="14.1" customHeight="1">
      <c r="A180" s="1236" t="s">
        <v>1692</v>
      </c>
      <c r="B180" s="1264">
        <f>B179*B176</f>
        <v>120225.70334705833</v>
      </c>
      <c r="D180" s="1440"/>
      <c r="E180" s="1441"/>
      <c r="F180" s="1441"/>
      <c r="G180" s="1441"/>
      <c r="H180" s="1441"/>
      <c r="I180" s="1442"/>
    </row>
    <row r="181" spans="1:9" s="1197" customFormat="1" ht="14.1" customHeight="1">
      <c r="A181" s="1238" t="s">
        <v>1693</v>
      </c>
      <c r="B181" s="1265">
        <f>B176-B180</f>
        <v>1082008.2966529417</v>
      </c>
      <c r="D181" s="1440"/>
      <c r="E181" s="1441"/>
      <c r="F181" s="1441"/>
      <c r="G181" s="1441"/>
      <c r="H181" s="1441"/>
      <c r="I181" s="1442"/>
    </row>
    <row r="182" spans="1:9" s="1197" customFormat="1" ht="14.1" customHeight="1">
      <c r="A182" s="1266"/>
      <c r="B182" s="1266"/>
      <c r="D182" s="1440"/>
      <c r="E182" s="1441"/>
      <c r="F182" s="1441"/>
      <c r="G182" s="1441"/>
      <c r="H182" s="1441"/>
      <c r="I182" s="1442"/>
    </row>
    <row r="183" spans="1:9" s="1197" customFormat="1" ht="14.1" customHeight="1">
      <c r="A183" s="1267" t="s">
        <v>1719</v>
      </c>
      <c r="B183" s="1268">
        <v>500000</v>
      </c>
      <c r="D183" s="1443"/>
      <c r="E183" s="1444"/>
      <c r="F183" s="1444"/>
      <c r="G183" s="1444"/>
      <c r="H183" s="1444"/>
      <c r="I183" s="1445"/>
    </row>
    <row r="184" spans="1:9" s="1197" customFormat="1" ht="14.1" customHeight="1">
      <c r="A184" s="1266"/>
      <c r="B184" s="1266"/>
      <c r="D184" s="1245"/>
      <c r="E184" s="1245"/>
      <c r="F184" s="1245"/>
      <c r="G184" s="1245"/>
      <c r="H184" s="1245"/>
      <c r="I184" s="1245"/>
    </row>
    <row r="185" spans="1:9" s="1197" customFormat="1" ht="14.1" customHeight="1">
      <c r="A185" s="1205" t="s">
        <v>1672</v>
      </c>
      <c r="B185" s="1206">
        <f>B181-B183</f>
        <v>582008.29665294173</v>
      </c>
      <c r="D185" s="1245"/>
      <c r="E185" s="1245"/>
      <c r="F185" s="1245"/>
      <c r="G185" s="1245"/>
      <c r="H185" s="1245"/>
      <c r="I185" s="1245"/>
    </row>
    <row r="186" spans="1:9" s="1197" customFormat="1" ht="14.1" customHeight="1">
      <c r="D186" s="1245"/>
      <c r="E186" s="1245"/>
      <c r="F186" s="1245"/>
      <c r="G186" s="1245"/>
      <c r="H186" s="1245"/>
      <c r="I186" s="1245"/>
    </row>
    <row r="187" spans="1:9" s="1197" customFormat="1" ht="14.1" customHeight="1">
      <c r="D187" s="1245"/>
      <c r="E187" s="1245"/>
      <c r="F187" s="1245"/>
      <c r="G187" s="1245"/>
      <c r="H187" s="1245"/>
      <c r="I187" s="1245"/>
    </row>
    <row r="188" spans="1:9" s="1197" customFormat="1" ht="14.1" customHeight="1">
      <c r="A188" s="1198" t="s">
        <v>1673</v>
      </c>
      <c r="B188" s="1194"/>
      <c r="D188" s="1245"/>
      <c r="E188" s="1245"/>
      <c r="F188" s="1245"/>
      <c r="G188" s="1245"/>
      <c r="H188" s="1245"/>
      <c r="I188" s="1245"/>
    </row>
    <row r="189" spans="1:9" s="1197" customFormat="1" ht="14.1" customHeight="1">
      <c r="A189" s="1194"/>
      <c r="B189" s="1194"/>
      <c r="D189" s="1245"/>
      <c r="E189" s="1245"/>
      <c r="F189" s="1245"/>
      <c r="G189" s="1245"/>
      <c r="H189" s="1245"/>
      <c r="I189" s="1245"/>
    </row>
    <row r="190" spans="1:9" s="1197" customFormat="1" ht="14.1" customHeight="1">
      <c r="A190" s="1199" t="s">
        <v>1674</v>
      </c>
      <c r="B190" s="1210" t="s">
        <v>1675</v>
      </c>
    </row>
    <row r="191" spans="1:9" s="1197" customFormat="1" ht="14.1" customHeight="1">
      <c r="A191" s="1211" t="s">
        <v>1677</v>
      </c>
      <c r="B191" s="1212">
        <v>20</v>
      </c>
      <c r="C191" s="1244" t="s">
        <v>1699</v>
      </c>
    </row>
    <row r="192" spans="1:9" s="1197" customFormat="1" ht="14.1" customHeight="1">
      <c r="A192" s="1213" t="s">
        <v>1678</v>
      </c>
      <c r="B192" s="1214" t="s">
        <v>1675</v>
      </c>
      <c r="C192" s="1194"/>
    </row>
    <row r="193" spans="1:9" s="1197" customFormat="1" ht="14.1" customHeight="1">
      <c r="A193" s="1216" t="s">
        <v>1679</v>
      </c>
      <c r="B193" s="1217">
        <f>'Other input data'!B26</f>
        <v>0.06</v>
      </c>
      <c r="C193" s="1244" t="s">
        <v>1676</v>
      </c>
    </row>
    <row r="194" spans="1:9" s="1197" customFormat="1" ht="14.1" customHeight="1">
      <c r="A194" s="1215"/>
      <c r="B194" s="1215"/>
      <c r="C194" s="1194"/>
    </row>
    <row r="195" spans="1:9" s="1197" customFormat="1" ht="14.1" customHeight="1">
      <c r="A195" s="1213" t="s">
        <v>1680</v>
      </c>
      <c r="B195" s="1218">
        <f>WACC!C14</f>
        <v>0.16534855279249897</v>
      </c>
      <c r="C195" s="1207" t="s">
        <v>1676</v>
      </c>
    </row>
    <row r="196" spans="1:9" s="1197" customFormat="1" ht="14.1" customHeight="1">
      <c r="A196" s="1213" t="s">
        <v>1681</v>
      </c>
      <c r="B196" s="1214" t="s">
        <v>1675</v>
      </c>
      <c r="C196" s="1215"/>
    </row>
    <row r="197" spans="1:9" s="1197" customFormat="1" ht="14.1" customHeight="1">
      <c r="A197" s="1216" t="s">
        <v>1682</v>
      </c>
      <c r="B197" s="1217">
        <v>0.1</v>
      </c>
      <c r="C197" s="1207" t="s">
        <v>1676</v>
      </c>
    </row>
    <row r="198" spans="1:9" s="1197" customFormat="1" ht="14.1" customHeight="1">
      <c r="A198" s="1219" t="s">
        <v>1683</v>
      </c>
      <c r="B198" s="1220">
        <f>IF(B196="YES",B195,B197)</f>
        <v>0.16534855279249897</v>
      </c>
      <c r="C198" s="1207" t="s">
        <v>1676</v>
      </c>
    </row>
    <row r="199" spans="1:9" s="1197" customFormat="1" ht="14.1" customHeight="1"/>
    <row r="200" spans="1:9" s="1197" customFormat="1" ht="14.1" customHeight="1"/>
    <row r="201" spans="1:9" s="1197" customFormat="1" ht="14.1" customHeight="1">
      <c r="A201" s="1221" t="s">
        <v>1684</v>
      </c>
      <c r="B201" s="1217"/>
    </row>
    <row r="202" spans="1:9" s="1197" customFormat="1" ht="14.1" customHeight="1">
      <c r="A202" s="1215"/>
      <c r="B202" s="1217"/>
    </row>
    <row r="203" spans="1:9" ht="14.1" customHeight="1">
      <c r="A203" s="1215" t="s">
        <v>1685</v>
      </c>
      <c r="B203" s="1269">
        <f>IF(B190="YES",IF(B192="YES",1/(B198-B193)*(1-((1+B193)/(1+B198))^B191),(1-(1+B198)^(-B191))/B198),IF(B192="YES",1/(B198-B193),1/B198))</f>
        <v>8.0654704223927407</v>
      </c>
    </row>
    <row r="204" spans="1:9" ht="14.1" customHeight="1">
      <c r="A204" s="1223" t="s">
        <v>1705</v>
      </c>
      <c r="B204" s="1224">
        <f>B185*B203</f>
        <v>4694170.7022414813</v>
      </c>
    </row>
    <row r="208" spans="1:9" s="1197" customFormat="1" ht="14.1" customHeight="1">
      <c r="A208" s="1272" t="s">
        <v>1727</v>
      </c>
      <c r="B208" s="1196"/>
      <c r="C208" s="1196"/>
      <c r="D208" s="1196"/>
      <c r="E208" s="1196"/>
      <c r="F208" s="1196"/>
      <c r="G208" s="1196"/>
      <c r="H208" s="1196"/>
      <c r="I208" s="1196"/>
    </row>
    <row r="210" spans="1:9" ht="14.1" customHeight="1">
      <c r="A210" s="1230" t="s">
        <v>1664</v>
      </c>
      <c r="D210" s="1446" t="s">
        <v>1720</v>
      </c>
      <c r="E210" s="1447"/>
      <c r="F210" s="1447"/>
      <c r="G210" s="1447"/>
      <c r="H210" s="1447"/>
      <c r="I210" s="1448"/>
    </row>
    <row r="211" spans="1:9" ht="14.1" customHeight="1">
      <c r="D211" s="1449"/>
      <c r="E211" s="1450"/>
      <c r="F211" s="1450"/>
      <c r="G211" s="1450"/>
      <c r="H211" s="1450"/>
      <c r="I211" s="1451"/>
    </row>
    <row r="212" spans="1:9" ht="14.1" customHeight="1">
      <c r="A212" s="1241" t="s">
        <v>1707</v>
      </c>
      <c r="D212" s="1449"/>
      <c r="E212" s="1450"/>
      <c r="F212" s="1450"/>
      <c r="G212" s="1450"/>
      <c r="H212" s="1450"/>
      <c r="I212" s="1451"/>
    </row>
    <row r="213" spans="1:9" ht="14.1" customHeight="1">
      <c r="A213" s="1197" t="s">
        <v>1708</v>
      </c>
      <c r="B213" s="1249">
        <f>'Balance Sheet'!G14</f>
        <v>0</v>
      </c>
      <c r="D213" s="1449"/>
      <c r="E213" s="1450"/>
      <c r="F213" s="1450"/>
      <c r="G213" s="1450"/>
      <c r="H213" s="1450"/>
      <c r="I213" s="1451"/>
    </row>
    <row r="214" spans="1:9" ht="14.1" customHeight="1">
      <c r="D214" s="1449"/>
      <c r="E214" s="1450"/>
      <c r="F214" s="1450"/>
      <c r="G214" s="1450"/>
      <c r="H214" s="1450"/>
      <c r="I214" s="1451"/>
    </row>
    <row r="215" spans="1:9" ht="14.1" customHeight="1">
      <c r="A215" s="1241" t="s">
        <v>1721</v>
      </c>
      <c r="D215" s="1449"/>
      <c r="E215" s="1450"/>
      <c r="F215" s="1450"/>
      <c r="G215" s="1450"/>
      <c r="H215" s="1450"/>
      <c r="I215" s="1451"/>
    </row>
    <row r="216" spans="1:9" ht="14.1" customHeight="1">
      <c r="A216" s="1199" t="s">
        <v>1722</v>
      </c>
      <c r="B216" s="1253">
        <v>400000</v>
      </c>
      <c r="D216" s="1449"/>
      <c r="E216" s="1450"/>
      <c r="F216" s="1450"/>
      <c r="G216" s="1450"/>
      <c r="H216" s="1450"/>
      <c r="I216" s="1451"/>
    </row>
    <row r="217" spans="1:9" ht="14.1" customHeight="1">
      <c r="D217" s="1449"/>
      <c r="E217" s="1450"/>
      <c r="F217" s="1450"/>
      <c r="G217" s="1450"/>
      <c r="H217" s="1450"/>
      <c r="I217" s="1451"/>
    </row>
    <row r="218" spans="1:9" ht="14.1" customHeight="1">
      <c r="D218" s="1449"/>
      <c r="E218" s="1450"/>
      <c r="F218" s="1450"/>
      <c r="G218" s="1450"/>
      <c r="H218" s="1450"/>
      <c r="I218" s="1451"/>
    </row>
    <row r="219" spans="1:9" ht="14.1" customHeight="1">
      <c r="A219" s="1198" t="s">
        <v>1673</v>
      </c>
      <c r="C219" s="1197"/>
      <c r="D219" s="1449"/>
      <c r="E219" s="1450"/>
      <c r="F219" s="1450"/>
      <c r="G219" s="1450"/>
      <c r="H219" s="1450"/>
      <c r="I219" s="1451"/>
    </row>
    <row r="220" spans="1:9" ht="14.1" customHeight="1">
      <c r="C220" s="1197"/>
      <c r="D220" s="1449"/>
      <c r="E220" s="1450"/>
      <c r="F220" s="1450"/>
      <c r="G220" s="1450"/>
      <c r="H220" s="1450"/>
      <c r="I220" s="1451"/>
    </row>
    <row r="221" spans="1:9" ht="14.1" customHeight="1">
      <c r="A221" s="1199" t="s">
        <v>1674</v>
      </c>
      <c r="B221" s="1210" t="s">
        <v>1675</v>
      </c>
      <c r="C221" s="1197"/>
      <c r="D221" s="1449"/>
      <c r="E221" s="1450"/>
      <c r="F221" s="1450"/>
      <c r="G221" s="1450"/>
      <c r="H221" s="1450"/>
      <c r="I221" s="1451"/>
    </row>
    <row r="222" spans="1:9" ht="14.1" customHeight="1">
      <c r="A222" s="1211" t="s">
        <v>1677</v>
      </c>
      <c r="B222" s="1212">
        <v>20</v>
      </c>
      <c r="C222" s="1244" t="s">
        <v>1699</v>
      </c>
      <c r="D222" s="1449"/>
      <c r="E222" s="1450"/>
      <c r="F222" s="1450"/>
      <c r="G222" s="1450"/>
      <c r="H222" s="1450"/>
      <c r="I222" s="1451"/>
    </row>
    <row r="223" spans="1:9" ht="14.1" customHeight="1">
      <c r="A223" s="1213" t="s">
        <v>1678</v>
      </c>
      <c r="B223" s="1214" t="s">
        <v>1675</v>
      </c>
      <c r="D223" s="1452"/>
      <c r="E223" s="1453"/>
      <c r="F223" s="1453"/>
      <c r="G223" s="1453"/>
      <c r="H223" s="1453"/>
      <c r="I223" s="1454"/>
    </row>
    <row r="224" spans="1:9" ht="14.1" customHeight="1">
      <c r="A224" s="1216" t="s">
        <v>1679</v>
      </c>
      <c r="B224" s="1217">
        <f>'Other input data'!B26</f>
        <v>0.06</v>
      </c>
      <c r="C224" s="1244" t="s">
        <v>1676</v>
      </c>
      <c r="D224" s="1254"/>
      <c r="E224" s="1254"/>
      <c r="F224" s="1254"/>
      <c r="G224" s="1254"/>
      <c r="H224" s="1254"/>
      <c r="I224" s="1254"/>
    </row>
    <row r="225" spans="1:9" ht="14.1" customHeight="1">
      <c r="A225" s="1215"/>
      <c r="B225" s="1215"/>
      <c r="D225" s="1254"/>
      <c r="E225" s="1254"/>
      <c r="F225" s="1254"/>
      <c r="G225" s="1254"/>
      <c r="H225" s="1254"/>
      <c r="I225" s="1254"/>
    </row>
    <row r="226" spans="1:9" ht="14.1" customHeight="1">
      <c r="A226" s="1213" t="s">
        <v>1680</v>
      </c>
      <c r="B226" s="1218">
        <f>WACC!C14</f>
        <v>0.16534855279249897</v>
      </c>
      <c r="C226" s="1207" t="s">
        <v>1676</v>
      </c>
      <c r="D226" s="1254"/>
      <c r="E226" s="1254"/>
      <c r="F226" s="1254"/>
      <c r="G226" s="1254"/>
      <c r="H226" s="1254"/>
      <c r="I226" s="1254"/>
    </row>
    <row r="227" spans="1:9" ht="14.1" customHeight="1">
      <c r="A227" s="1213" t="s">
        <v>1681</v>
      </c>
      <c r="B227" s="1214" t="s">
        <v>1675</v>
      </c>
      <c r="C227" s="1215"/>
      <c r="D227" s="1254"/>
      <c r="E227" s="1254"/>
      <c r="F227" s="1254"/>
      <c r="G227" s="1254"/>
      <c r="H227" s="1254"/>
      <c r="I227" s="1254"/>
    </row>
    <row r="228" spans="1:9" ht="14.1" customHeight="1">
      <c r="A228" s="1216" t="s">
        <v>1682</v>
      </c>
      <c r="B228" s="1217">
        <v>0.1</v>
      </c>
      <c r="C228" s="1207" t="s">
        <v>1676</v>
      </c>
      <c r="D228" s="1254"/>
      <c r="E228" s="1254"/>
      <c r="F228" s="1254"/>
      <c r="G228" s="1254"/>
      <c r="H228" s="1254"/>
      <c r="I228" s="1254"/>
    </row>
    <row r="229" spans="1:9" ht="14.1" customHeight="1">
      <c r="A229" s="1219" t="s">
        <v>1683</v>
      </c>
      <c r="B229" s="1220">
        <f>IF(B227="YES",B226,B228)</f>
        <v>0.16534855279249897</v>
      </c>
      <c r="C229" s="1207" t="s">
        <v>1676</v>
      </c>
      <c r="D229" s="1254"/>
      <c r="E229" s="1254"/>
      <c r="F229" s="1254"/>
      <c r="G229" s="1254"/>
      <c r="H229" s="1254"/>
      <c r="I229" s="1254"/>
    </row>
    <row r="230" spans="1:9" ht="14.1" customHeight="1">
      <c r="D230" s="1254"/>
      <c r="E230" s="1254"/>
      <c r="F230" s="1254"/>
      <c r="G230" s="1254"/>
      <c r="H230" s="1254"/>
      <c r="I230" s="1254"/>
    </row>
    <row r="231" spans="1:9" ht="14.1" customHeight="1">
      <c r="D231" s="1254"/>
      <c r="E231" s="1254"/>
      <c r="F231" s="1254"/>
      <c r="G231" s="1254"/>
      <c r="H231" s="1254"/>
      <c r="I231" s="1254"/>
    </row>
    <row r="232" spans="1:9" ht="14.1" customHeight="1">
      <c r="A232" s="1221" t="s">
        <v>1684</v>
      </c>
      <c r="B232" s="1217"/>
      <c r="D232" s="1254"/>
      <c r="E232" s="1254"/>
      <c r="F232" s="1254"/>
      <c r="G232" s="1254"/>
      <c r="H232" s="1254"/>
      <c r="I232" s="1254"/>
    </row>
    <row r="233" spans="1:9" ht="14.1" customHeight="1">
      <c r="A233" s="1215"/>
      <c r="B233" s="1217"/>
      <c r="D233" s="1254"/>
      <c r="E233" s="1254"/>
      <c r="F233" s="1254"/>
      <c r="G233" s="1254"/>
      <c r="H233" s="1254"/>
      <c r="I233" s="1254"/>
    </row>
    <row r="234" spans="1:9" s="1197" customFormat="1" ht="14.1" customHeight="1">
      <c r="A234" s="1215" t="s">
        <v>1685</v>
      </c>
      <c r="B234" s="1269">
        <f>IF(B221="YES",IF(B223="YES",1/(B229-B224)*(1-((1+B224)/(1+B229))^B222),(1-(1+B229)^(-B222))/B229),IF(B223="YES",1/(B229-B224),1/B229))</f>
        <v>8.0654704223927407</v>
      </c>
      <c r="D234" s="1250"/>
      <c r="E234" s="1250"/>
      <c r="F234" s="1250"/>
      <c r="G234" s="1250"/>
      <c r="H234" s="1250"/>
      <c r="I234" s="1250"/>
    </row>
    <row r="235" spans="1:9" ht="14.1" customHeight="1">
      <c r="A235" s="1223" t="s">
        <v>1705</v>
      </c>
      <c r="B235" s="1224">
        <f>B216*B234</f>
        <v>3226188.1689570961</v>
      </c>
      <c r="D235" s="1254"/>
      <c r="E235" s="1254"/>
      <c r="F235" s="1254"/>
      <c r="G235" s="1254"/>
      <c r="H235" s="1254"/>
      <c r="I235" s="1254"/>
    </row>
  </sheetData>
  <mergeCells count="7">
    <mergeCell ref="D174:I183"/>
    <mergeCell ref="D210:I223"/>
    <mergeCell ref="A3:I31"/>
    <mergeCell ref="A1:I1"/>
    <mergeCell ref="D35:I47"/>
    <mergeCell ref="D73:I89"/>
    <mergeCell ref="D120:I132"/>
  </mergeCells>
  <conditionalFormatting sqref="A54:B54">
    <cfRule type="expression" dxfId="14" priority="15">
      <formula>AND($B$53="YES")</formula>
    </cfRule>
  </conditionalFormatting>
  <conditionalFormatting sqref="A56:B56">
    <cfRule type="expression" dxfId="13" priority="14">
      <formula>AND($B$55="YES")</formula>
    </cfRule>
  </conditionalFormatting>
  <conditionalFormatting sqref="A60:B60">
    <cfRule type="expression" dxfId="12" priority="13">
      <formula>AND($B$59="NO")</formula>
    </cfRule>
  </conditionalFormatting>
  <conditionalFormatting sqref="A157:B157">
    <cfRule type="expression" dxfId="11" priority="12">
      <formula>AND($B$156="YES")</formula>
    </cfRule>
  </conditionalFormatting>
  <conditionalFormatting sqref="A161:B161">
    <cfRule type="expression" dxfId="10" priority="11">
      <formula>AND($B$160="NO")</formula>
    </cfRule>
  </conditionalFormatting>
  <conditionalFormatting sqref="A155:B155">
    <cfRule type="expression" dxfId="9" priority="10">
      <formula>AND($B$154="YES")</formula>
    </cfRule>
  </conditionalFormatting>
  <conditionalFormatting sqref="A103:B103">
    <cfRule type="expression" dxfId="8" priority="9">
      <formula>AND($B$102="YES")</formula>
    </cfRule>
  </conditionalFormatting>
  <conditionalFormatting sqref="A107:B107">
    <cfRule type="expression" dxfId="7" priority="8">
      <formula>AND($B$106="NO")</formula>
    </cfRule>
  </conditionalFormatting>
  <conditionalFormatting sqref="A101:B101">
    <cfRule type="expression" dxfId="6" priority="7">
      <formula>AND($B$100="YES")</formula>
    </cfRule>
  </conditionalFormatting>
  <conditionalFormatting sqref="A193:B193">
    <cfRule type="expression" dxfId="5" priority="6">
      <formula>AND($B$192="YES")</formula>
    </cfRule>
  </conditionalFormatting>
  <conditionalFormatting sqref="A197:B197">
    <cfRule type="expression" dxfId="4" priority="5">
      <formula>AND($B$196="NO")</formula>
    </cfRule>
  </conditionalFormatting>
  <conditionalFormatting sqref="A191:B191">
    <cfRule type="expression" dxfId="3" priority="4">
      <formula>AND($B$190="YES")</formula>
    </cfRule>
  </conditionalFormatting>
  <conditionalFormatting sqref="A224:B224">
    <cfRule type="expression" dxfId="2" priority="3">
      <formula>AND($B$223="YES")</formula>
    </cfRule>
  </conditionalFormatting>
  <conditionalFormatting sqref="A228:B228">
    <cfRule type="expression" dxfId="1" priority="2">
      <formula>AND($B$228="NO")</formula>
    </cfRule>
  </conditionalFormatting>
  <conditionalFormatting sqref="A222:B222">
    <cfRule type="expression" dxfId="0" priority="1">
      <formula>AND($B$221="YES")</formula>
    </cfRule>
  </conditionalFormatting>
  <dataValidations count="1">
    <dataValidation type="list" allowBlank="1" showInputMessage="1" showErrorMessage="1" sqref="B53 B55 B59 B154 B156 B160 B100 B102 B106 B190 B192 B196 B221 B223 B227" xr:uid="{00000000-0002-0000-2900-000000000000}">
      <formula1>"YES,NO"</formula1>
    </dataValidation>
  </dataValidation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F20"/>
  <sheetViews>
    <sheetView showGridLines="0" workbookViewId="0">
      <selection activeCell="J4" sqref="J4"/>
    </sheetView>
  </sheetViews>
  <sheetFormatPr defaultColWidth="8.85546875" defaultRowHeight="12.75"/>
  <cols>
    <col min="1" max="1" width="32.140625" customWidth="1"/>
    <col min="2" max="2" width="14.7109375" bestFit="1" customWidth="1"/>
    <col min="3" max="3" width="22.28515625" bestFit="1" customWidth="1"/>
    <col min="4" max="4" width="12.140625" bestFit="1" customWidth="1"/>
    <col min="5" max="5" width="24.42578125" bestFit="1" customWidth="1"/>
    <col min="6" max="6" width="13.7109375" customWidth="1"/>
    <col min="7" max="7" width="7.42578125" customWidth="1"/>
    <col min="8" max="8" width="29.140625" bestFit="1" customWidth="1"/>
    <col min="9" max="9" width="12" bestFit="1" customWidth="1"/>
    <col min="11" max="11" width="12" bestFit="1" customWidth="1"/>
    <col min="12" max="12" width="20.28515625" bestFit="1" customWidth="1"/>
  </cols>
  <sheetData>
    <row r="1" spans="1:6" ht="18.75">
      <c r="A1" s="945" t="s">
        <v>1350</v>
      </c>
    </row>
    <row r="3" spans="1:6">
      <c r="A3" s="177" t="s">
        <v>153</v>
      </c>
    </row>
    <row r="4" spans="1:6" ht="13.5" thickBot="1">
      <c r="A4" s="177"/>
    </row>
    <row r="5" spans="1:6" ht="15.75" thickBot="1">
      <c r="B5" s="691"/>
      <c r="C5" s="1110"/>
      <c r="D5" s="1111"/>
    </row>
    <row r="6" spans="1:6" ht="18" customHeight="1">
      <c r="A6" s="21" t="s">
        <v>384</v>
      </c>
      <c r="B6" s="1106">
        <f>E14</f>
        <v>200802</v>
      </c>
      <c r="C6" s="566"/>
      <c r="D6" s="288"/>
      <c r="F6" s="179"/>
    </row>
    <row r="7" spans="1:6">
      <c r="A7" s="21" t="s">
        <v>388</v>
      </c>
      <c r="B7" s="688">
        <f>0.5%</f>
        <v>5.0000000000000001E-3</v>
      </c>
      <c r="C7" s="567"/>
      <c r="D7" s="1107">
        <f>B7*B6</f>
        <v>1004.01</v>
      </c>
    </row>
    <row r="8" spans="1:6">
      <c r="A8" s="21" t="s">
        <v>389</v>
      </c>
      <c r="B8" s="536">
        <v>0.01</v>
      </c>
      <c r="C8" s="567"/>
      <c r="D8" s="1107">
        <f>B8*B6</f>
        <v>2008.02</v>
      </c>
    </row>
    <row r="9" spans="1:6">
      <c r="A9" s="21" t="s">
        <v>390</v>
      </c>
      <c r="B9" s="536">
        <v>2.4E-2</v>
      </c>
      <c r="C9" s="567"/>
      <c r="D9" s="1107">
        <f>B6*B9</f>
        <v>4819.2480000000005</v>
      </c>
    </row>
    <row r="10" spans="1:6" ht="13.5" thickBot="1">
      <c r="A10" s="21" t="s">
        <v>387</v>
      </c>
      <c r="B10" s="689">
        <v>5</v>
      </c>
      <c r="C10" s="1109" t="s">
        <v>1206</v>
      </c>
      <c r="D10" s="1108">
        <f>B6/B10</f>
        <v>40160.400000000001</v>
      </c>
    </row>
    <row r="11" spans="1:6">
      <c r="C11" s="178"/>
    </row>
    <row r="12" spans="1:6">
      <c r="C12" s="178"/>
    </row>
    <row r="13" spans="1:6" ht="15.75">
      <c r="A13" s="180" t="s">
        <v>382</v>
      </c>
      <c r="B13" s="180" t="s">
        <v>1783</v>
      </c>
      <c r="C13" s="180" t="s">
        <v>391</v>
      </c>
      <c r="D13" s="180" t="s">
        <v>383</v>
      </c>
      <c r="E13" s="180" t="s">
        <v>386</v>
      </c>
    </row>
    <row r="14" spans="1:6">
      <c r="A14" s="178"/>
      <c r="B14" s="19"/>
      <c r="C14" s="19"/>
      <c r="D14" s="19"/>
      <c r="E14" s="19">
        <v>200802</v>
      </c>
      <c r="F14" s="1277">
        <f>(1-(1/(1+B9/1)^B10))/B9/1</f>
        <v>4.6592325124947864</v>
      </c>
    </row>
    <row r="15" spans="1:6" ht="15.75">
      <c r="A15" s="180" t="s">
        <v>728</v>
      </c>
      <c r="B15" s="19">
        <f>$E$14/$F$14</f>
        <v>43097.655989801751</v>
      </c>
      <c r="C15" s="19">
        <f>E14*($B$9/1)</f>
        <v>4819.2480000000005</v>
      </c>
      <c r="D15" s="19">
        <f>B15-C15</f>
        <v>38278.407989801752</v>
      </c>
      <c r="E15" s="19">
        <f>E14-D15</f>
        <v>162523.59201019825</v>
      </c>
    </row>
    <row r="16" spans="1:6" ht="15.75">
      <c r="A16" s="180" t="s">
        <v>727</v>
      </c>
      <c r="B16" s="19">
        <f>$E$14/$F$14</f>
        <v>43097.655989801751</v>
      </c>
      <c r="C16" s="19">
        <f t="shared" ref="C16:C19" si="0">E15*($B$9/1)</f>
        <v>3900.5662082447579</v>
      </c>
      <c r="D16" s="19">
        <f t="shared" ref="D16:D19" si="1">B16-C16</f>
        <v>39197.089781556992</v>
      </c>
      <c r="E16" s="19">
        <f t="shared" ref="E16:E19" si="2">E15-D16</f>
        <v>123326.50222864126</v>
      </c>
    </row>
    <row r="17" spans="1:5" ht="15.75">
      <c r="A17" s="180" t="s">
        <v>1317</v>
      </c>
      <c r="B17" s="19">
        <f>$E$14/$F$14</f>
        <v>43097.655989801751</v>
      </c>
      <c r="C17" s="19">
        <f t="shared" si="0"/>
        <v>2959.83605348739</v>
      </c>
      <c r="D17" s="19">
        <f t="shared" si="1"/>
        <v>40137.819936314365</v>
      </c>
      <c r="E17" s="19">
        <f t="shared" si="2"/>
        <v>83188.682292326892</v>
      </c>
    </row>
    <row r="18" spans="1:5" ht="15.75">
      <c r="A18" s="180" t="s">
        <v>1318</v>
      </c>
      <c r="B18" s="19">
        <f>$E$14/$F$14</f>
        <v>43097.655989801751</v>
      </c>
      <c r="C18" s="19">
        <f t="shared" si="0"/>
        <v>1996.5283750158455</v>
      </c>
      <c r="D18" s="19">
        <f t="shared" si="1"/>
        <v>41101.127614785903</v>
      </c>
      <c r="E18" s="19">
        <f t="shared" si="2"/>
        <v>42087.554677540989</v>
      </c>
    </row>
    <row r="19" spans="1:5" ht="15.75">
      <c r="A19" s="180" t="s">
        <v>372</v>
      </c>
      <c r="B19" s="19">
        <f>$E$14/$F$14</f>
        <v>43097.655989801751</v>
      </c>
      <c r="C19" s="19">
        <f t="shared" si="0"/>
        <v>1010.1013122609837</v>
      </c>
      <c r="D19" s="19">
        <f t="shared" si="1"/>
        <v>42087.554677540771</v>
      </c>
      <c r="E19" s="19">
        <f t="shared" si="2"/>
        <v>2.1827872842550278E-10</v>
      </c>
    </row>
    <row r="20" spans="1:5" ht="15.75">
      <c r="A20" s="180" t="s">
        <v>1784</v>
      </c>
      <c r="B20" s="19">
        <f>SUM(B15:B19)</f>
        <v>215488.27994900875</v>
      </c>
      <c r="C20" s="19">
        <f t="shared" ref="C20:D20" si="3">SUM(C15:C19)</f>
        <v>14686.279949008978</v>
      </c>
      <c r="D20" s="19">
        <f t="shared" si="3"/>
        <v>200801.99999999977</v>
      </c>
      <c r="E20" s="19"/>
    </row>
  </sheetData>
  <phoneticPr fontId="68" type="noConversion"/>
  <pageMargins left="0.70000000000000007" right="0.70000000000000007" top="0.75000000000000011" bottom="0.75000000000000011" header="0.30000000000000004" footer="0.30000000000000004"/>
  <pageSetup paperSize="9" scale="72"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3" tint="-0.249977111117893"/>
    <pageSetUpPr fitToPage="1"/>
  </sheetPr>
  <dimension ref="A1:N63"/>
  <sheetViews>
    <sheetView showGridLines="0" workbookViewId="0">
      <selection activeCell="B19" sqref="B19"/>
    </sheetView>
  </sheetViews>
  <sheetFormatPr defaultColWidth="8.85546875" defaultRowHeight="15"/>
  <cols>
    <col min="1" max="1" width="47.42578125" style="7" customWidth="1"/>
    <col min="2" max="3" width="9.28515625" style="7" bestFit="1" customWidth="1"/>
    <col min="4" max="4" width="7.42578125" style="13" bestFit="1" customWidth="1"/>
    <col min="5" max="5" width="12.42578125" style="139" bestFit="1" customWidth="1"/>
    <col min="6" max="6" width="9.28515625" style="7" bestFit="1" customWidth="1"/>
    <col min="7" max="7" width="11.140625" style="13" customWidth="1"/>
    <col min="8" max="8" width="12" style="13" bestFit="1" customWidth="1"/>
    <col min="9" max="9" width="11.42578125" style="7" bestFit="1" customWidth="1"/>
    <col min="10" max="10" width="10.140625" style="13" bestFit="1" customWidth="1"/>
    <col min="11" max="11" width="12" style="13" bestFit="1" customWidth="1"/>
    <col min="12" max="12" width="11.42578125" style="13" bestFit="1" customWidth="1"/>
    <col min="13" max="13" width="10.42578125" style="13" bestFit="1" customWidth="1"/>
    <col min="14" max="14" width="11" style="13" bestFit="1" customWidth="1"/>
    <col min="15" max="16384" width="8.85546875" style="13"/>
  </cols>
  <sheetData>
    <row r="1" spans="1:14" ht="18.75">
      <c r="A1" s="945" t="s">
        <v>897</v>
      </c>
    </row>
    <row r="2" spans="1:14" ht="15" customHeight="1"/>
    <row r="3" spans="1:14" ht="15" customHeight="1">
      <c r="A3" s="634" t="s">
        <v>355</v>
      </c>
    </row>
    <row r="4" spans="1:14" ht="9.75" customHeight="1" thickBot="1">
      <c r="A4" s="8"/>
      <c r="B4" s="10"/>
      <c r="C4" s="9"/>
      <c r="F4" s="9"/>
      <c r="I4" s="9"/>
    </row>
    <row r="5" spans="1:14" ht="15" customHeight="1" thickTop="1" thickBot="1">
      <c r="A5" s="636"/>
      <c r="B5" s="632"/>
      <c r="C5" s="632"/>
      <c r="D5" s="632"/>
      <c r="E5" s="637"/>
      <c r="F5" s="632"/>
      <c r="G5" s="632"/>
      <c r="H5" s="632"/>
      <c r="I5" s="632"/>
      <c r="J5" s="632"/>
      <c r="K5" s="632"/>
      <c r="L5" s="632"/>
      <c r="M5" s="632"/>
      <c r="N5" s="632"/>
    </row>
    <row r="6" spans="1:14" ht="15" customHeight="1">
      <c r="A6" s="675" t="s">
        <v>726</v>
      </c>
      <c r="B6" s="663" t="s">
        <v>728</v>
      </c>
      <c r="C6" s="663" t="s">
        <v>727</v>
      </c>
      <c r="D6" s="663" t="s">
        <v>917</v>
      </c>
      <c r="E6" s="683" t="s">
        <v>786</v>
      </c>
      <c r="F6" s="663" t="s">
        <v>1317</v>
      </c>
      <c r="G6" s="663" t="s">
        <v>917</v>
      </c>
      <c r="H6" s="683" t="s">
        <v>786</v>
      </c>
      <c r="I6" s="663" t="s">
        <v>1318</v>
      </c>
      <c r="J6" s="663" t="s">
        <v>917</v>
      </c>
      <c r="K6" s="683" t="s">
        <v>786</v>
      </c>
      <c r="L6" s="663" t="s">
        <v>372</v>
      </c>
      <c r="M6" s="663" t="s">
        <v>917</v>
      </c>
      <c r="N6" s="663" t="s">
        <v>786</v>
      </c>
    </row>
    <row r="7" spans="1:14" s="633" customFormat="1" ht="15" customHeight="1">
      <c r="A7" s="693" t="s">
        <v>768</v>
      </c>
      <c r="B7" s="701"/>
      <c r="C7" s="701"/>
      <c r="D7" s="692"/>
      <c r="E7" s="704"/>
      <c r="F7" s="701"/>
      <c r="G7" s="692"/>
      <c r="H7" s="704"/>
      <c r="I7" s="701"/>
      <c r="J7" s="692"/>
      <c r="K7" s="704"/>
      <c r="L7" s="701"/>
      <c r="M7" s="692"/>
      <c r="N7" s="692"/>
    </row>
    <row r="8" spans="1:14" s="633" customFormat="1" ht="15" customHeight="1">
      <c r="A8" s="956" t="s">
        <v>743</v>
      </c>
      <c r="B8" s="957"/>
      <c r="C8" s="957"/>
      <c r="D8" s="958"/>
      <c r="E8" s="959"/>
      <c r="F8" s="957"/>
      <c r="G8" s="958"/>
      <c r="H8" s="959"/>
      <c r="I8" s="957"/>
      <c r="J8" s="958"/>
      <c r="K8" s="959"/>
      <c r="L8" s="957"/>
      <c r="M8" s="958"/>
      <c r="N8" s="958"/>
    </row>
    <row r="9" spans="1:14" s="14" customFormat="1" ht="15" customHeight="1">
      <c r="A9" s="694" t="s">
        <v>749</v>
      </c>
      <c r="B9" s="705">
        <f>'Balance Sheet'!C7</f>
        <v>220500</v>
      </c>
      <c r="C9" s="705">
        <f>'Balance Sheet'!D7</f>
        <v>171500</v>
      </c>
      <c r="D9" s="705">
        <f>C9-B9</f>
        <v>-49000</v>
      </c>
      <c r="E9" s="713">
        <f>IF(B9=0,0,D9/B9)</f>
        <v>-0.22222222222222221</v>
      </c>
      <c r="F9" s="705">
        <f>'Balance Sheet'!E7</f>
        <v>239300</v>
      </c>
      <c r="G9" s="705">
        <f>F9-C9</f>
        <v>67800</v>
      </c>
      <c r="H9" s="713">
        <f>IF(C9=0,0,G9/C9)</f>
        <v>0.39533527696793003</v>
      </c>
      <c r="I9" s="705">
        <f>'Balance Sheet'!F7</f>
        <v>267500</v>
      </c>
      <c r="J9" s="705">
        <f>I9-F9</f>
        <v>28200</v>
      </c>
      <c r="K9" s="713">
        <f>IF(F9=0,0,J9/F9)</f>
        <v>0.11784371082323443</v>
      </c>
      <c r="L9" s="705">
        <f>'Balance Sheet'!G7</f>
        <v>311500</v>
      </c>
      <c r="M9" s="705">
        <f>L9-I9</f>
        <v>44000</v>
      </c>
      <c r="N9" s="713">
        <f>IF(I9=0,0,M9/I9)</f>
        <v>0.16448598130841122</v>
      </c>
    </row>
    <row r="10" spans="1:14" s="14" customFormat="1" ht="15" customHeight="1">
      <c r="A10" s="694" t="s">
        <v>742</v>
      </c>
      <c r="B10" s="705">
        <f>'Balance Sheet'!C8</f>
        <v>0</v>
      </c>
      <c r="C10" s="705">
        <f>'Balance Sheet'!D8</f>
        <v>0</v>
      </c>
      <c r="D10" s="705">
        <f>C10-B10</f>
        <v>0</v>
      </c>
      <c r="E10" s="713">
        <f>IF(B10=0,0,D10/B10)</f>
        <v>0</v>
      </c>
      <c r="F10" s="705">
        <f>'Balance Sheet'!E8</f>
        <v>0</v>
      </c>
      <c r="G10" s="705">
        <f t="shared" ref="G10:G45" si="0">F10-C10</f>
        <v>0</v>
      </c>
      <c r="H10" s="713">
        <f>IF(C10=0,0,G10/C10)</f>
        <v>0</v>
      </c>
      <c r="I10" s="705">
        <f>'Balance Sheet'!F8</f>
        <v>0</v>
      </c>
      <c r="J10" s="705">
        <f t="shared" ref="J10:J61" si="1">I10-F10</f>
        <v>0</v>
      </c>
      <c r="K10" s="713">
        <f>IF(F10=0,0,J10/F10)</f>
        <v>0</v>
      </c>
      <c r="L10" s="705">
        <f>'Balance Sheet'!G8</f>
        <v>0</v>
      </c>
      <c r="M10" s="705">
        <f>L10-I10</f>
        <v>0</v>
      </c>
      <c r="N10" s="713">
        <f>IF(I10=0,0,M10/I10)</f>
        <v>0</v>
      </c>
    </row>
    <row r="11" spans="1:14" s="14" customFormat="1" ht="15" customHeight="1">
      <c r="A11" s="694" t="s">
        <v>748</v>
      </c>
      <c r="B11" s="705">
        <f>'Balance Sheet'!C9</f>
        <v>69</v>
      </c>
      <c r="C11" s="705">
        <f>'Balance Sheet'!D9</f>
        <v>421</v>
      </c>
      <c r="D11" s="705">
        <f>C11-B11</f>
        <v>352</v>
      </c>
      <c r="E11" s="713">
        <f>IF(B11=0,0,D11/B11)</f>
        <v>5.1014492753623184</v>
      </c>
      <c r="F11" s="705">
        <f>'Balance Sheet'!E9</f>
        <v>1869</v>
      </c>
      <c r="G11" s="705">
        <f t="shared" si="0"/>
        <v>1448</v>
      </c>
      <c r="H11" s="713">
        <f>IF(C11=0,0,G11/C11)</f>
        <v>3.4394299287410925</v>
      </c>
      <c r="I11" s="705">
        <f>'Balance Sheet'!F9</f>
        <v>2862</v>
      </c>
      <c r="J11" s="705">
        <f t="shared" si="1"/>
        <v>993</v>
      </c>
      <c r="K11" s="713">
        <f>IF(F11=0,0,J11/F11)</f>
        <v>0.5313001605136437</v>
      </c>
      <c r="L11" s="705">
        <f>'Balance Sheet'!G9</f>
        <v>5420</v>
      </c>
      <c r="M11" s="705">
        <f>L11-I11</f>
        <v>2558</v>
      </c>
      <c r="N11" s="713">
        <f>IF(I11=0,0,M11/I11)</f>
        <v>0.89378057302585601</v>
      </c>
    </row>
    <row r="12" spans="1:14" s="14" customFormat="1" ht="15" customHeight="1">
      <c r="A12" s="694" t="s">
        <v>769</v>
      </c>
      <c r="B12" s="705">
        <f>'Balance Sheet'!C10</f>
        <v>0</v>
      </c>
      <c r="C12" s="705">
        <f>'Balance Sheet'!D10</f>
        <v>0</v>
      </c>
      <c r="D12" s="705">
        <f>C12-B12</f>
        <v>0</v>
      </c>
      <c r="E12" s="713">
        <f>IF(B12=0,0,D12/B12)</f>
        <v>0</v>
      </c>
      <c r="F12" s="705">
        <f>'Balance Sheet'!E10</f>
        <v>0</v>
      </c>
      <c r="G12" s="705">
        <f t="shared" si="0"/>
        <v>0</v>
      </c>
      <c r="H12" s="713">
        <f>IF(C12=0,0,G12/C12)</f>
        <v>0</v>
      </c>
      <c r="I12" s="705">
        <f>'Balance Sheet'!F10</f>
        <v>0</v>
      </c>
      <c r="J12" s="705">
        <f t="shared" si="1"/>
        <v>0</v>
      </c>
      <c r="K12" s="713">
        <f>IF(F12=0,0,J12/F12)</f>
        <v>0</v>
      </c>
      <c r="L12" s="705">
        <f>'Balance Sheet'!G10</f>
        <v>0</v>
      </c>
      <c r="M12" s="705">
        <f>L12-I12</f>
        <v>0</v>
      </c>
      <c r="N12" s="713">
        <f>IF(I12=0,0,M12/I12)</f>
        <v>0</v>
      </c>
    </row>
    <row r="13" spans="1:14" s="15" customFormat="1" ht="15" customHeight="1">
      <c r="A13" s="695" t="s">
        <v>741</v>
      </c>
      <c r="B13" s="706">
        <f>'Balance Sheet'!C11</f>
        <v>220569</v>
      </c>
      <c r="C13" s="706">
        <f>'Balance Sheet'!D11</f>
        <v>171921</v>
      </c>
      <c r="D13" s="706">
        <f>C13-B13</f>
        <v>-48648</v>
      </c>
      <c r="E13" s="714">
        <f>D13/B13</f>
        <v>-0.22055683255579886</v>
      </c>
      <c r="F13" s="706">
        <f>'Balance Sheet'!E11</f>
        <v>241169</v>
      </c>
      <c r="G13" s="706">
        <f t="shared" si="0"/>
        <v>69248</v>
      </c>
      <c r="H13" s="714">
        <f>G13/C13</f>
        <v>0.4027896533873116</v>
      </c>
      <c r="I13" s="706">
        <f>'Balance Sheet'!F11</f>
        <v>270362</v>
      </c>
      <c r="J13" s="706">
        <f t="shared" si="1"/>
        <v>29193</v>
      </c>
      <c r="K13" s="714">
        <f>J13/F13</f>
        <v>0.1210478958738478</v>
      </c>
      <c r="L13" s="706">
        <f>'Balance Sheet'!G11</f>
        <v>316920</v>
      </c>
      <c r="M13" s="706">
        <f>L13-I13</f>
        <v>46558</v>
      </c>
      <c r="N13" s="714">
        <f>M13/I13</f>
        <v>0.17220615323159319</v>
      </c>
    </row>
    <row r="14" spans="1:14" s="633" customFormat="1" ht="15" customHeight="1">
      <c r="A14" s="956" t="s">
        <v>744</v>
      </c>
      <c r="B14" s="957"/>
      <c r="C14" s="957"/>
      <c r="D14" s="958"/>
      <c r="E14" s="959"/>
      <c r="F14" s="957"/>
      <c r="G14" s="958"/>
      <c r="H14" s="959"/>
      <c r="I14" s="957"/>
      <c r="J14" s="958"/>
      <c r="K14" s="959"/>
      <c r="L14" s="957"/>
      <c r="M14" s="958"/>
      <c r="N14" s="958"/>
    </row>
    <row r="15" spans="1:14" s="14" customFormat="1" ht="15" customHeight="1">
      <c r="A15" s="695" t="s">
        <v>741</v>
      </c>
      <c r="B15" s="706">
        <f>'Balance Sheet'!C14</f>
        <v>0</v>
      </c>
      <c r="C15" s="706">
        <f>'Balance Sheet'!D14</f>
        <v>0</v>
      </c>
      <c r="D15" s="706">
        <f>C15-B15</f>
        <v>0</v>
      </c>
      <c r="E15" s="714">
        <f>IF(B15=0,0,D15/B15)</f>
        <v>0</v>
      </c>
      <c r="F15" s="706">
        <f>'Balance Sheet'!E14</f>
        <v>0</v>
      </c>
      <c r="G15" s="706">
        <f t="shared" si="0"/>
        <v>0</v>
      </c>
      <c r="H15" s="714">
        <f>IF(C15=0,0,G15/C15)</f>
        <v>0</v>
      </c>
      <c r="I15" s="706">
        <f>'Balance Sheet'!F14</f>
        <v>0</v>
      </c>
      <c r="J15" s="706">
        <f t="shared" si="1"/>
        <v>0</v>
      </c>
      <c r="K15" s="714">
        <f>IF(F15=0,0,J15/F15)</f>
        <v>0</v>
      </c>
      <c r="L15" s="706">
        <f>'Balance Sheet'!G14</f>
        <v>0</v>
      </c>
      <c r="M15" s="706">
        <f>L15-I15</f>
        <v>0</v>
      </c>
      <c r="N15" s="714">
        <f>IF(I15=0,0,M15/I15)</f>
        <v>0</v>
      </c>
    </row>
    <row r="16" spans="1:14" s="14" customFormat="1" ht="12.75">
      <c r="A16" s="679" t="s">
        <v>738</v>
      </c>
      <c r="B16" s="719">
        <f>'Balance Sheet'!C16</f>
        <v>220569</v>
      </c>
      <c r="C16" s="708">
        <f>'Balance Sheet'!D16</f>
        <v>171921</v>
      </c>
      <c r="D16" s="708">
        <f>C16-B16</f>
        <v>-48648</v>
      </c>
      <c r="E16" s="716">
        <f>D16/B16</f>
        <v>-0.22055683255579886</v>
      </c>
      <c r="F16" s="708">
        <f>'Balance Sheet'!E16</f>
        <v>241169</v>
      </c>
      <c r="G16" s="708">
        <f t="shared" si="0"/>
        <v>69248</v>
      </c>
      <c r="H16" s="716">
        <f>G16/C16</f>
        <v>0.4027896533873116</v>
      </c>
      <c r="I16" s="708">
        <f>'Balance Sheet'!F16</f>
        <v>270362</v>
      </c>
      <c r="J16" s="708">
        <f t="shared" si="1"/>
        <v>29193</v>
      </c>
      <c r="K16" s="716">
        <f>J16/F16</f>
        <v>0.1210478958738478</v>
      </c>
      <c r="L16" s="708">
        <f>'Balance Sheet'!G16</f>
        <v>316920</v>
      </c>
      <c r="M16" s="708">
        <f>L16-I16</f>
        <v>46558</v>
      </c>
      <c r="N16" s="716">
        <f>M16/I16</f>
        <v>0.17220615323159319</v>
      </c>
    </row>
    <row r="17" spans="1:14" s="14" customFormat="1" ht="12.75">
      <c r="A17" s="696" t="s">
        <v>766</v>
      </c>
      <c r="B17" s="707"/>
      <c r="C17" s="707"/>
      <c r="D17" s="709"/>
      <c r="E17" s="715"/>
      <c r="F17" s="707"/>
      <c r="G17" s="709"/>
      <c r="H17" s="715"/>
      <c r="I17" s="707"/>
      <c r="J17" s="709"/>
      <c r="K17" s="715"/>
      <c r="L17" s="707"/>
      <c r="M17" s="709"/>
      <c r="N17" s="715"/>
    </row>
    <row r="18" spans="1:14" s="633" customFormat="1" ht="15" customHeight="1">
      <c r="A18" s="956" t="s">
        <v>750</v>
      </c>
      <c r="B18" s="957"/>
      <c r="C18" s="957"/>
      <c r="D18" s="958"/>
      <c r="E18" s="959"/>
      <c r="F18" s="957"/>
      <c r="G18" s="958"/>
      <c r="H18" s="959"/>
      <c r="I18" s="957"/>
      <c r="J18" s="958"/>
      <c r="K18" s="959"/>
      <c r="L18" s="957"/>
      <c r="M18" s="958"/>
      <c r="N18" s="958"/>
    </row>
    <row r="19" spans="1:14" s="14" customFormat="1" ht="15" customHeight="1">
      <c r="A19" s="695" t="s">
        <v>741</v>
      </c>
      <c r="B19" s="706">
        <f>'Balance Sheet'!C20</f>
        <v>0</v>
      </c>
      <c r="C19" s="706">
        <f>'Balance Sheet'!D20</f>
        <v>0</v>
      </c>
      <c r="D19" s="706">
        <f>C19-B19</f>
        <v>0</v>
      </c>
      <c r="E19" s="714">
        <f>IF(B19=0,0,D19/B19)</f>
        <v>0</v>
      </c>
      <c r="F19" s="706">
        <f>'Balance Sheet'!E20</f>
        <v>0</v>
      </c>
      <c r="G19" s="706">
        <f t="shared" si="0"/>
        <v>0</v>
      </c>
      <c r="H19" s="714">
        <f>IF(C19=0,0,G19/C19)</f>
        <v>0</v>
      </c>
      <c r="I19" s="706">
        <f>'Balance Sheet'!F20</f>
        <v>0</v>
      </c>
      <c r="J19" s="706">
        <f t="shared" si="1"/>
        <v>0</v>
      </c>
      <c r="K19" s="714">
        <f>IF(F19=0,0,J19/F19)</f>
        <v>0</v>
      </c>
      <c r="L19" s="706">
        <f>'Balance Sheet'!G20</f>
        <v>0</v>
      </c>
      <c r="M19" s="706">
        <f>L19-I19</f>
        <v>0</v>
      </c>
      <c r="N19" s="714">
        <f>IF(I19=0,0,M19/I19)</f>
        <v>0</v>
      </c>
    </row>
    <row r="20" spans="1:14" s="633" customFormat="1" ht="15" customHeight="1">
      <c r="A20" s="956" t="s">
        <v>751</v>
      </c>
      <c r="B20" s="957"/>
      <c r="C20" s="957"/>
      <c r="D20" s="958"/>
      <c r="E20" s="959"/>
      <c r="F20" s="957"/>
      <c r="G20" s="958"/>
      <c r="H20" s="959"/>
      <c r="I20" s="957"/>
      <c r="J20" s="958"/>
      <c r="K20" s="959"/>
      <c r="L20" s="957"/>
      <c r="M20" s="958"/>
      <c r="N20" s="958"/>
    </row>
    <row r="21" spans="1:14" s="14" customFormat="1" ht="12.75">
      <c r="A21" s="697" t="s">
        <v>752</v>
      </c>
      <c r="B21" s="705">
        <f>'Balance Sheet'!C23</f>
        <v>0</v>
      </c>
      <c r="C21" s="705">
        <f>'Balance Sheet'!D23</f>
        <v>0</v>
      </c>
      <c r="D21" s="705">
        <f>C21-B21</f>
        <v>0</v>
      </c>
      <c r="E21" s="713">
        <f>IF(B21=0,0,D21/B21)</f>
        <v>0</v>
      </c>
      <c r="F21" s="705">
        <f>'Balance Sheet'!E23</f>
        <v>0</v>
      </c>
      <c r="G21" s="705">
        <f t="shared" si="0"/>
        <v>0</v>
      </c>
      <c r="H21" s="713">
        <f>IF(C21=0,0,G21/C21)</f>
        <v>0</v>
      </c>
      <c r="I21" s="705">
        <f>'Balance Sheet'!F23</f>
        <v>0</v>
      </c>
      <c r="J21" s="705">
        <f t="shared" si="1"/>
        <v>0</v>
      </c>
      <c r="K21" s="713">
        <f>IF(F21=0,0,J21/F21)</f>
        <v>0</v>
      </c>
      <c r="L21" s="705">
        <f>'Balance Sheet'!G23</f>
        <v>0</v>
      </c>
      <c r="M21" s="705">
        <f>L21-I21</f>
        <v>0</v>
      </c>
      <c r="N21" s="713">
        <f>IF(I21=0,0,M21/I21)</f>
        <v>0</v>
      </c>
    </row>
    <row r="22" spans="1:14" s="14" customFormat="1" ht="12.75">
      <c r="A22" s="697" t="s">
        <v>1213</v>
      </c>
      <c r="B22" s="705"/>
      <c r="C22" s="705"/>
      <c r="D22" s="710"/>
      <c r="E22" s="713"/>
      <c r="F22" s="705"/>
      <c r="G22" s="710"/>
      <c r="H22" s="713"/>
      <c r="I22" s="705"/>
      <c r="J22" s="710"/>
      <c r="K22" s="713"/>
      <c r="L22" s="705"/>
      <c r="M22" s="705"/>
      <c r="N22" s="713"/>
    </row>
    <row r="23" spans="1:14" s="14" customFormat="1" ht="12.75">
      <c r="A23" s="698" t="s">
        <v>1214</v>
      </c>
      <c r="B23" s="705">
        <f>'Balance Sheet'!C25</f>
        <v>456</v>
      </c>
      <c r="C23" s="705">
        <f>'Balance Sheet'!D25</f>
        <v>2736</v>
      </c>
      <c r="D23" s="705">
        <f t="shared" ref="D23:D28" si="2">C23-B23</f>
        <v>2280</v>
      </c>
      <c r="E23" s="713">
        <f>D23/B23</f>
        <v>5</v>
      </c>
      <c r="F23" s="705">
        <f>'Balance Sheet'!E25</f>
        <v>12406</v>
      </c>
      <c r="G23" s="705">
        <f t="shared" si="0"/>
        <v>9670</v>
      </c>
      <c r="H23" s="713">
        <f>IF(C23=0,0,G23/C23)</f>
        <v>3.5343567251461989</v>
      </c>
      <c r="I23" s="705">
        <f>'Balance Sheet'!F25</f>
        <v>17493</v>
      </c>
      <c r="J23" s="705">
        <f t="shared" si="1"/>
        <v>5087</v>
      </c>
      <c r="K23" s="713">
        <f>IF(F23=0,0,J23/F23)</f>
        <v>0.41004352732548766</v>
      </c>
      <c r="L23" s="705">
        <f>'Balance Sheet'!G25</f>
        <v>28029</v>
      </c>
      <c r="M23" s="705">
        <f t="shared" ref="M23:M28" si="3">L23-I23</f>
        <v>10536</v>
      </c>
      <c r="N23" s="713">
        <f>IF(I23=0,0,M23/I23)</f>
        <v>0.60229806208197567</v>
      </c>
    </row>
    <row r="24" spans="1:14" s="14" customFormat="1" ht="12.75">
      <c r="A24" s="698" t="s">
        <v>1215</v>
      </c>
      <c r="B24" s="705">
        <f>'Balance Sheet'!C26</f>
        <v>0</v>
      </c>
      <c r="C24" s="705">
        <f>'Balance Sheet'!D26</f>
        <v>0</v>
      </c>
      <c r="D24" s="705">
        <f t="shared" si="2"/>
        <v>0</v>
      </c>
      <c r="E24" s="713">
        <f>IF(B24=0,0,D24/B24)</f>
        <v>0</v>
      </c>
      <c r="F24" s="705">
        <f>'Balance Sheet'!E26</f>
        <v>0</v>
      </c>
      <c r="G24" s="705">
        <f t="shared" si="0"/>
        <v>0</v>
      </c>
      <c r="H24" s="713">
        <f>IF(C24=0,0,G24/C24)</f>
        <v>0</v>
      </c>
      <c r="I24" s="705">
        <f>'Balance Sheet'!F26</f>
        <v>0</v>
      </c>
      <c r="J24" s="705">
        <f t="shared" si="1"/>
        <v>0</v>
      </c>
      <c r="K24" s="713">
        <f>IF(F24=0,0,J24/F24)</f>
        <v>0</v>
      </c>
      <c r="L24" s="705">
        <f>'Balance Sheet'!G26</f>
        <v>0</v>
      </c>
      <c r="M24" s="705">
        <f t="shared" si="3"/>
        <v>0</v>
      </c>
      <c r="N24" s="713">
        <f>IF(I24=0,0,M24/I24)</f>
        <v>0</v>
      </c>
    </row>
    <row r="25" spans="1:14" s="14" customFormat="1" ht="12.75">
      <c r="A25" s="698" t="s">
        <v>1216</v>
      </c>
      <c r="B25" s="705">
        <f>'Balance Sheet'!C27</f>
        <v>0</v>
      </c>
      <c r="C25" s="705">
        <f>'Balance Sheet'!D27</f>
        <v>0</v>
      </c>
      <c r="D25" s="705">
        <f t="shared" si="2"/>
        <v>0</v>
      </c>
      <c r="E25" s="713">
        <f>IF(B25=0,0,D25/B25)</f>
        <v>0</v>
      </c>
      <c r="F25" s="705">
        <f>'Balance Sheet'!E27</f>
        <v>0</v>
      </c>
      <c r="G25" s="705">
        <f t="shared" si="0"/>
        <v>0</v>
      </c>
      <c r="H25" s="713">
        <f>IF(C25=0,0,G25/C25)</f>
        <v>0</v>
      </c>
      <c r="I25" s="705">
        <f>'Balance Sheet'!F27</f>
        <v>0</v>
      </c>
      <c r="J25" s="705">
        <f t="shared" si="1"/>
        <v>0</v>
      </c>
      <c r="K25" s="713">
        <f>IF(F25=0,0,J25/F25)</f>
        <v>0</v>
      </c>
      <c r="L25" s="705">
        <f>'Balance Sheet'!G27</f>
        <v>0</v>
      </c>
      <c r="M25" s="705">
        <f t="shared" si="3"/>
        <v>0</v>
      </c>
      <c r="N25" s="713">
        <f>IF(I25=0,0,M25/I25)</f>
        <v>0</v>
      </c>
    </row>
    <row r="26" spans="1:14" s="15" customFormat="1" ht="12.75">
      <c r="A26" s="697" t="s">
        <v>753</v>
      </c>
      <c r="B26" s="705">
        <f>'Balance Sheet'!C28</f>
        <v>56821</v>
      </c>
      <c r="C26" s="705">
        <f>'Balance Sheet'!D28</f>
        <v>21430</v>
      </c>
      <c r="D26" s="705">
        <f t="shared" si="2"/>
        <v>-35391</v>
      </c>
      <c r="E26" s="713">
        <f>D26/B26</f>
        <v>-0.62285070660495234</v>
      </c>
      <c r="F26" s="705">
        <f>'Balance Sheet'!E28</f>
        <v>0</v>
      </c>
      <c r="G26" s="705">
        <f t="shared" si="0"/>
        <v>-21430</v>
      </c>
      <c r="H26" s="713">
        <f>IF(C26=0,0,G26/C26)</f>
        <v>-1</v>
      </c>
      <c r="I26" s="705">
        <f>'Balance Sheet'!F28</f>
        <v>0</v>
      </c>
      <c r="J26" s="705">
        <f t="shared" si="1"/>
        <v>0</v>
      </c>
      <c r="K26" s="713">
        <f>IF(F26=0,0,J26/F26)</f>
        <v>0</v>
      </c>
      <c r="L26" s="705">
        <f>'Balance Sheet'!G28</f>
        <v>0</v>
      </c>
      <c r="M26" s="705">
        <f t="shared" si="3"/>
        <v>0</v>
      </c>
      <c r="N26" s="713">
        <f>IF(I26=0,0,M26/I26)</f>
        <v>0</v>
      </c>
    </row>
    <row r="27" spans="1:14" s="14" customFormat="1" ht="12.75">
      <c r="A27" s="697" t="s">
        <v>754</v>
      </c>
      <c r="B27" s="705">
        <f>'Balance Sheet'!C29</f>
        <v>0</v>
      </c>
      <c r="C27" s="705">
        <f>'Balance Sheet'!D29</f>
        <v>0</v>
      </c>
      <c r="D27" s="705">
        <f t="shared" si="2"/>
        <v>0</v>
      </c>
      <c r="E27" s="713">
        <f>IF(B27=0,0,D27/B27)</f>
        <v>0</v>
      </c>
      <c r="F27" s="705">
        <f>'Balance Sheet'!E29</f>
        <v>0</v>
      </c>
      <c r="G27" s="705">
        <f t="shared" si="0"/>
        <v>0</v>
      </c>
      <c r="H27" s="713">
        <f>IF(C27=0,0,G27/C27)</f>
        <v>0</v>
      </c>
      <c r="I27" s="705">
        <f>'Balance Sheet'!F29</f>
        <v>0</v>
      </c>
      <c r="J27" s="705">
        <f t="shared" si="1"/>
        <v>0</v>
      </c>
      <c r="K27" s="713">
        <f>IF(F27=0,0,J27/F27)</f>
        <v>0</v>
      </c>
      <c r="L27" s="705">
        <f>'Balance Sheet'!G29</f>
        <v>0</v>
      </c>
      <c r="M27" s="705">
        <f t="shared" si="3"/>
        <v>0</v>
      </c>
      <c r="N27" s="713">
        <f>IF(I27=0,0,M27/I27)</f>
        <v>0</v>
      </c>
    </row>
    <row r="28" spans="1:14" s="15" customFormat="1" ht="15" customHeight="1">
      <c r="A28" s="695" t="s">
        <v>741</v>
      </c>
      <c r="B28" s="706">
        <f>'Balance Sheet'!C30</f>
        <v>57277</v>
      </c>
      <c r="C28" s="706">
        <f>'Balance Sheet'!D30</f>
        <v>24166</v>
      </c>
      <c r="D28" s="706">
        <f t="shared" si="2"/>
        <v>-33111</v>
      </c>
      <c r="E28" s="714">
        <f>D28/B28</f>
        <v>-0.57808544441922582</v>
      </c>
      <c r="F28" s="706">
        <f>'Balance Sheet'!E30</f>
        <v>12406</v>
      </c>
      <c r="G28" s="706">
        <f t="shared" si="0"/>
        <v>-11760</v>
      </c>
      <c r="H28" s="714">
        <f>G28/C28</f>
        <v>-0.48663411404452539</v>
      </c>
      <c r="I28" s="706">
        <f>'Balance Sheet'!F30</f>
        <v>17493</v>
      </c>
      <c r="J28" s="706">
        <f t="shared" si="1"/>
        <v>5087</v>
      </c>
      <c r="K28" s="714">
        <f>J28/F28</f>
        <v>0.41004352732548766</v>
      </c>
      <c r="L28" s="706">
        <f>'Balance Sheet'!G30</f>
        <v>28029</v>
      </c>
      <c r="M28" s="706">
        <f t="shared" si="3"/>
        <v>10536</v>
      </c>
      <c r="N28" s="714">
        <f>M28/I28</f>
        <v>0.60229806208197567</v>
      </c>
    </row>
    <row r="29" spans="1:14" s="633" customFormat="1" ht="15" customHeight="1">
      <c r="A29" s="956" t="s">
        <v>755</v>
      </c>
      <c r="B29" s="957"/>
      <c r="C29" s="957"/>
      <c r="D29" s="958"/>
      <c r="E29" s="959"/>
      <c r="F29" s="957"/>
      <c r="G29" s="958"/>
      <c r="H29" s="959"/>
      <c r="I29" s="957"/>
      <c r="J29" s="958"/>
      <c r="K29" s="959"/>
      <c r="L29" s="957"/>
      <c r="M29" s="958"/>
      <c r="N29" s="958"/>
    </row>
    <row r="30" spans="1:14" s="14" customFormat="1" ht="12.75">
      <c r="A30" s="697" t="s">
        <v>756</v>
      </c>
      <c r="B30" s="705">
        <f>'Balance Sheet'!C33</f>
        <v>0</v>
      </c>
      <c r="C30" s="705">
        <f>'Balance Sheet'!D33</f>
        <v>49996.750399999997</v>
      </c>
      <c r="D30" s="705">
        <f>C30-B30</f>
        <v>49996.750399999997</v>
      </c>
      <c r="E30" s="713">
        <f>IF(B30=0,0,D30/B30)</f>
        <v>0</v>
      </c>
      <c r="F30" s="705">
        <f>'Balance Sheet'!E33</f>
        <v>441684.50079999998</v>
      </c>
      <c r="G30" s="705">
        <f t="shared" si="0"/>
        <v>391687.75039999996</v>
      </c>
      <c r="H30" s="713">
        <f>IF(C30=0,0,G30/C30)</f>
        <v>7.8342641724970985</v>
      </c>
      <c r="I30" s="705">
        <f>'Balance Sheet'!F33</f>
        <v>950908.25120000006</v>
      </c>
      <c r="J30" s="955">
        <f t="shared" si="1"/>
        <v>509223.75040000008</v>
      </c>
      <c r="K30" s="713">
        <f>IF(F30=0,0,J30/F30)</f>
        <v>1.152912881202917</v>
      </c>
      <c r="L30" s="705">
        <f>'Balance Sheet'!G33</f>
        <v>2024795.0016000001</v>
      </c>
      <c r="M30" s="705">
        <f>L30-I30</f>
        <v>1073886.7504</v>
      </c>
      <c r="N30" s="713">
        <f>IF(I30=0,0,M30/I30)</f>
        <v>1.1293274078175335</v>
      </c>
    </row>
    <row r="31" spans="1:14" s="14" customFormat="1" ht="15" customHeight="1">
      <c r="A31" s="695" t="s">
        <v>741</v>
      </c>
      <c r="B31" s="706">
        <f>'Balance Sheet'!C34</f>
        <v>0</v>
      </c>
      <c r="C31" s="706">
        <f>'Balance Sheet'!D34</f>
        <v>49996.750399999997</v>
      </c>
      <c r="D31" s="706">
        <f>C31-B31</f>
        <v>49996.750399999997</v>
      </c>
      <c r="E31" s="714">
        <f>IF(B31=0,0,D31/B31)</f>
        <v>0</v>
      </c>
      <c r="F31" s="706">
        <f>'Balance Sheet'!E34</f>
        <v>441684.50079999998</v>
      </c>
      <c r="G31" s="706">
        <f t="shared" si="0"/>
        <v>391687.75039999996</v>
      </c>
      <c r="H31" s="714">
        <f>IF(C31=0,0,G31/C31)</f>
        <v>7.8342641724970985</v>
      </c>
      <c r="I31" s="706">
        <f>'Balance Sheet'!F34</f>
        <v>950908.25120000006</v>
      </c>
      <c r="J31" s="706">
        <f t="shared" si="1"/>
        <v>509223.75040000008</v>
      </c>
      <c r="K31" s="714">
        <f>IF(F31=0,0,J31/F31)</f>
        <v>1.152912881202917</v>
      </c>
      <c r="L31" s="706">
        <f>'Balance Sheet'!G34</f>
        <v>2024795.0016000001</v>
      </c>
      <c r="M31" s="706">
        <f>L31-I31</f>
        <v>1073886.7504</v>
      </c>
      <c r="N31" s="714">
        <f>IF(I31=0,0,M31/I31)</f>
        <v>1.1293274078175335</v>
      </c>
    </row>
    <row r="32" spans="1:14" s="633" customFormat="1" ht="15" customHeight="1">
      <c r="A32" s="956" t="s">
        <v>757</v>
      </c>
      <c r="B32" s="957"/>
      <c r="C32" s="957"/>
      <c r="D32" s="958"/>
      <c r="E32" s="959"/>
      <c r="F32" s="957"/>
      <c r="G32" s="958"/>
      <c r="H32" s="959"/>
      <c r="I32" s="957"/>
      <c r="J32" s="958"/>
      <c r="K32" s="959"/>
      <c r="L32" s="957"/>
      <c r="M32" s="958"/>
      <c r="N32" s="958"/>
    </row>
    <row r="33" spans="1:14" s="14" customFormat="1" ht="15" customHeight="1">
      <c r="A33" s="695" t="s">
        <v>741</v>
      </c>
      <c r="B33" s="706">
        <f>'Balance Sheet'!C37</f>
        <v>0</v>
      </c>
      <c r="C33" s="706">
        <f>'Balance Sheet'!D37</f>
        <v>0</v>
      </c>
      <c r="D33" s="706">
        <f>C33-B33</f>
        <v>0</v>
      </c>
      <c r="E33" s="714">
        <f>IF(B33=0,0,D33/B33)</f>
        <v>0</v>
      </c>
      <c r="F33" s="706">
        <f>'Balance Sheet'!E37</f>
        <v>0</v>
      </c>
      <c r="G33" s="706">
        <f t="shared" si="0"/>
        <v>0</v>
      </c>
      <c r="H33" s="714">
        <f>IF(C33=0,0,G33/C33)</f>
        <v>0</v>
      </c>
      <c r="I33" s="706">
        <f>'Balance Sheet'!F37</f>
        <v>0</v>
      </c>
      <c r="J33" s="706">
        <f t="shared" si="1"/>
        <v>0</v>
      </c>
      <c r="K33" s="714">
        <f>IF(F33=0,0,J33/F33)</f>
        <v>0</v>
      </c>
      <c r="L33" s="706">
        <f>'Balance Sheet'!G37</f>
        <v>0</v>
      </c>
      <c r="M33" s="706">
        <f>L33-I33</f>
        <v>0</v>
      </c>
      <c r="N33" s="714">
        <f>IF(I33=0,0,M33/I33)</f>
        <v>0</v>
      </c>
    </row>
    <row r="34" spans="1:14" s="14" customFormat="1" ht="12.75">
      <c r="A34" s="697"/>
      <c r="B34" s="705"/>
      <c r="C34" s="705"/>
      <c r="D34" s="705"/>
      <c r="E34" s="713"/>
      <c r="F34" s="705"/>
      <c r="G34" s="710"/>
      <c r="H34" s="713"/>
      <c r="I34" s="705"/>
      <c r="J34" s="710"/>
      <c r="K34" s="713"/>
      <c r="L34" s="705"/>
      <c r="M34" s="705"/>
      <c r="N34" s="713"/>
    </row>
    <row r="35" spans="1:14" s="14" customFormat="1" ht="13.5" thickBot="1">
      <c r="A35" s="679" t="s">
        <v>737</v>
      </c>
      <c r="B35" s="720">
        <f>'Balance Sheet'!C39</f>
        <v>57277</v>
      </c>
      <c r="C35" s="711">
        <f>'Balance Sheet'!D39</f>
        <v>74162.75039999999</v>
      </c>
      <c r="D35" s="721">
        <f>C35-B35</f>
        <v>16885.75039999999</v>
      </c>
      <c r="E35" s="717">
        <f>D35/B35</f>
        <v>0.29480856888454338</v>
      </c>
      <c r="F35" s="711">
        <f>'Balance Sheet'!E39</f>
        <v>454090.50079999998</v>
      </c>
      <c r="G35" s="711">
        <f t="shared" si="0"/>
        <v>379927.75040000002</v>
      </c>
      <c r="H35" s="717">
        <f>G35/C35</f>
        <v>5.1228918608175036</v>
      </c>
      <c r="I35" s="711">
        <f>'Balance Sheet'!F39</f>
        <v>968401.25120000006</v>
      </c>
      <c r="J35" s="711">
        <f t="shared" si="1"/>
        <v>514310.75040000008</v>
      </c>
      <c r="K35" s="717">
        <f>J35/F35</f>
        <v>1.1326172855276784</v>
      </c>
      <c r="L35" s="711">
        <f>'Balance Sheet'!G39</f>
        <v>2052824.0016000001</v>
      </c>
      <c r="M35" s="711">
        <f>L35-I35</f>
        <v>1084422.7504</v>
      </c>
      <c r="N35" s="717">
        <f>M35/I35</f>
        <v>1.1198072586711667</v>
      </c>
    </row>
    <row r="36" spans="1:14" s="14" customFormat="1" ht="13.5" thickBot="1">
      <c r="A36" s="699" t="s">
        <v>739</v>
      </c>
      <c r="B36" s="722">
        <f>'Balance Sheet'!C41</f>
        <v>277846</v>
      </c>
      <c r="C36" s="712">
        <f>'Balance Sheet'!D41</f>
        <v>246083.75039999999</v>
      </c>
      <c r="D36" s="723">
        <f>C36-B36</f>
        <v>-31762.24960000001</v>
      </c>
      <c r="E36" s="718">
        <f>D36/B36</f>
        <v>-0.11431602254486302</v>
      </c>
      <c r="F36" s="712">
        <f>'Balance Sheet'!E41</f>
        <v>695259.50080000004</v>
      </c>
      <c r="G36" s="712">
        <f t="shared" si="0"/>
        <v>449175.75040000002</v>
      </c>
      <c r="H36" s="718">
        <f>G36/C36</f>
        <v>1.8252962646655113</v>
      </c>
      <c r="I36" s="712">
        <f>'Balance Sheet'!F41</f>
        <v>1238763.2512000001</v>
      </c>
      <c r="J36" s="712">
        <f t="shared" si="1"/>
        <v>543503.75040000002</v>
      </c>
      <c r="K36" s="718">
        <f>J36/F36</f>
        <v>0.7817279012722842</v>
      </c>
      <c r="L36" s="712">
        <f>'Balance Sheet'!G41</f>
        <v>2369744.0016000001</v>
      </c>
      <c r="M36" s="712">
        <f>L36-I36</f>
        <v>1130980.7504</v>
      </c>
      <c r="N36" s="718">
        <f>M36/I36</f>
        <v>0.91299184836522218</v>
      </c>
    </row>
    <row r="37" spans="1:14" s="14" customFormat="1">
      <c r="A37" s="643"/>
      <c r="B37" s="644"/>
      <c r="C37" s="644"/>
      <c r="D37" s="645"/>
      <c r="E37" s="640"/>
      <c r="F37" s="645"/>
      <c r="G37" s="645"/>
      <c r="H37" s="640"/>
      <c r="I37" s="645"/>
      <c r="J37" s="645"/>
      <c r="K37" s="640"/>
      <c r="L37" s="645"/>
      <c r="M37" s="645"/>
      <c r="N37" s="641"/>
    </row>
    <row r="38" spans="1:14" s="14" customFormat="1" ht="15.75" thickBot="1">
      <c r="A38" s="646"/>
      <c r="B38" s="647"/>
      <c r="C38" s="647"/>
      <c r="D38" s="648"/>
      <c r="E38" s="642"/>
      <c r="F38" s="648"/>
      <c r="G38" s="648"/>
      <c r="H38" s="642"/>
      <c r="I38" s="648"/>
      <c r="J38" s="648"/>
      <c r="K38" s="642"/>
      <c r="L38" s="648"/>
      <c r="M38" s="648"/>
      <c r="N38" s="649"/>
    </row>
    <row r="39" spans="1:14" ht="15" customHeight="1">
      <c r="A39" s="675" t="s">
        <v>758</v>
      </c>
      <c r="B39" s="724" t="s">
        <v>728</v>
      </c>
      <c r="C39" s="724" t="s">
        <v>727</v>
      </c>
      <c r="D39" s="663" t="s">
        <v>917</v>
      </c>
      <c r="E39" s="728" t="s">
        <v>786</v>
      </c>
      <c r="F39" s="724" t="s">
        <v>1317</v>
      </c>
      <c r="G39" s="663" t="s">
        <v>917</v>
      </c>
      <c r="H39" s="728" t="s">
        <v>786</v>
      </c>
      <c r="I39" s="724" t="s">
        <v>1318</v>
      </c>
      <c r="J39" s="663" t="s">
        <v>917</v>
      </c>
      <c r="K39" s="728" t="s">
        <v>786</v>
      </c>
      <c r="L39" s="724" t="s">
        <v>372</v>
      </c>
      <c r="M39" s="663" t="s">
        <v>917</v>
      </c>
      <c r="N39" s="728" t="s">
        <v>786</v>
      </c>
    </row>
    <row r="40" spans="1:14" s="14" customFormat="1">
      <c r="A40" s="682"/>
      <c r="B40" s="725"/>
      <c r="C40" s="725"/>
      <c r="D40" s="725"/>
      <c r="E40" s="729"/>
      <c r="F40" s="725"/>
      <c r="G40" s="725"/>
      <c r="H40" s="729"/>
      <c r="I40" s="725"/>
      <c r="J40" s="725"/>
      <c r="K40" s="729"/>
      <c r="L40" s="725"/>
      <c r="M40" s="725"/>
      <c r="N40" s="729"/>
    </row>
    <row r="41" spans="1:14" s="633" customFormat="1" ht="15" customHeight="1">
      <c r="A41" s="956" t="s">
        <v>759</v>
      </c>
      <c r="B41" s="957"/>
      <c r="C41" s="957"/>
      <c r="D41" s="958"/>
      <c r="E41" s="959"/>
      <c r="F41" s="957"/>
      <c r="G41" s="958"/>
      <c r="H41" s="959"/>
      <c r="I41" s="957"/>
      <c r="J41" s="958"/>
      <c r="K41" s="959"/>
      <c r="L41" s="957"/>
      <c r="M41" s="958"/>
      <c r="N41" s="958"/>
    </row>
    <row r="42" spans="1:14" s="14" customFormat="1" ht="12.75">
      <c r="A42" s="697" t="s">
        <v>729</v>
      </c>
      <c r="B42" s="702">
        <f>'Balance Sheet'!C47</f>
        <v>10000</v>
      </c>
      <c r="C42" s="702">
        <f>'Balance Sheet'!D47</f>
        <v>10000</v>
      </c>
      <c r="D42" s="702">
        <f>C42-B42</f>
        <v>0</v>
      </c>
      <c r="E42" s="713">
        <f>D42/B42</f>
        <v>0</v>
      </c>
      <c r="F42" s="702">
        <f>'Balance Sheet'!E47</f>
        <v>10000</v>
      </c>
      <c r="G42" s="702">
        <f t="shared" si="0"/>
        <v>0</v>
      </c>
      <c r="H42" s="713">
        <f>IF(C42=0,0,G42/C42)</f>
        <v>0</v>
      </c>
      <c r="I42" s="702">
        <f>'Balance Sheet'!F47</f>
        <v>10000</v>
      </c>
      <c r="J42" s="702">
        <f t="shared" si="1"/>
        <v>0</v>
      </c>
      <c r="K42" s="713">
        <f>IF(F42=0,0,J42/F42)</f>
        <v>0</v>
      </c>
      <c r="L42" s="702">
        <f>'Balance Sheet'!G47</f>
        <v>10000</v>
      </c>
      <c r="M42" s="702">
        <f t="shared" ref="M42:M48" si="4">L42-I42</f>
        <v>0</v>
      </c>
      <c r="N42" s="713">
        <f>IF(I42=0,0,M42/I42)</f>
        <v>0</v>
      </c>
    </row>
    <row r="43" spans="1:14" s="14" customFormat="1" ht="12.75">
      <c r="A43" s="697" t="s">
        <v>888</v>
      </c>
      <c r="B43" s="702">
        <f>'Balance Sheet'!C48</f>
        <v>0</v>
      </c>
      <c r="C43" s="702">
        <f>'Balance Sheet'!D48</f>
        <v>0</v>
      </c>
      <c r="D43" s="702">
        <f>C43-B43</f>
        <v>0</v>
      </c>
      <c r="E43" s="713">
        <f>IF(B43=0,0,D43/B43)</f>
        <v>0</v>
      </c>
      <c r="F43" s="702">
        <f>'Balance Sheet'!E48</f>
        <v>0</v>
      </c>
      <c r="G43" s="702">
        <f t="shared" si="0"/>
        <v>0</v>
      </c>
      <c r="H43" s="713">
        <f>IF(C43=0,0,G43/C43)</f>
        <v>0</v>
      </c>
      <c r="I43" s="702">
        <f>'Balance Sheet'!F48</f>
        <v>0</v>
      </c>
      <c r="J43" s="702">
        <f t="shared" si="1"/>
        <v>0</v>
      </c>
      <c r="K43" s="713">
        <f>IF(F43=0,0,J43/F43)</f>
        <v>0</v>
      </c>
      <c r="L43" s="702">
        <f>'Balance Sheet'!G48</f>
        <v>0</v>
      </c>
      <c r="M43" s="702">
        <f t="shared" si="4"/>
        <v>0</v>
      </c>
      <c r="N43" s="713">
        <f>IF(I43=0,0,M43/I43)</f>
        <v>0</v>
      </c>
    </row>
    <row r="44" spans="1:14" s="14" customFormat="1" ht="12.75">
      <c r="A44" s="697" t="s">
        <v>760</v>
      </c>
      <c r="B44" s="702">
        <f>'Balance Sheet'!C49</f>
        <v>130000</v>
      </c>
      <c r="C44" s="702">
        <f>'Balance Sheet'!D49</f>
        <v>65836</v>
      </c>
      <c r="D44" s="702">
        <f>C44-B44</f>
        <v>-64164</v>
      </c>
      <c r="E44" s="713">
        <f>D44/B44</f>
        <v>-0.49356923076923076</v>
      </c>
      <c r="F44" s="702">
        <f>'Balance Sheet'!E49</f>
        <v>64627.15</v>
      </c>
      <c r="G44" s="702">
        <f t="shared" si="0"/>
        <v>-1208.8499999999985</v>
      </c>
      <c r="H44" s="713">
        <f>IF(C44=0,0,G44/C44)</f>
        <v>-1.8361534722644124E-2</v>
      </c>
      <c r="I44" s="702">
        <f>'Balance Sheet'!F49</f>
        <v>478376.15</v>
      </c>
      <c r="J44" s="702">
        <f t="shared" si="1"/>
        <v>413749</v>
      </c>
      <c r="K44" s="713">
        <f>IF(F44=0,0,J44/F44)</f>
        <v>6.4020926189689629</v>
      </c>
      <c r="L44" s="702">
        <f>'Balance Sheet'!G49</f>
        <v>1042153.15</v>
      </c>
      <c r="M44" s="702">
        <f t="shared" si="4"/>
        <v>563777</v>
      </c>
      <c r="N44" s="713">
        <f>IF(I44=0,0,M44/I44)</f>
        <v>1.1785223824390074</v>
      </c>
    </row>
    <row r="45" spans="1:14" s="14" customFormat="1" ht="12.75">
      <c r="A45" s="697" t="s">
        <v>761</v>
      </c>
      <c r="B45" s="702">
        <f>'Balance Sheet'!C50</f>
        <v>0</v>
      </c>
      <c r="C45" s="702">
        <f>'Balance Sheet'!D50</f>
        <v>0</v>
      </c>
      <c r="D45" s="702">
        <f>C45-B45</f>
        <v>0</v>
      </c>
      <c r="E45" s="713">
        <f>IF(B45=0,0,D45/B45)</f>
        <v>0</v>
      </c>
      <c r="F45" s="702">
        <f>'Balance Sheet'!E50</f>
        <v>0</v>
      </c>
      <c r="G45" s="702">
        <f t="shared" si="0"/>
        <v>0</v>
      </c>
      <c r="H45" s="713">
        <f>IF(C45=0,0,G45/C45)</f>
        <v>0</v>
      </c>
      <c r="I45" s="702">
        <f>'Balance Sheet'!F50</f>
        <v>0</v>
      </c>
      <c r="J45" s="702">
        <f t="shared" si="1"/>
        <v>0</v>
      </c>
      <c r="K45" s="713">
        <f>IF(F45=0,0,J45/F45)</f>
        <v>0</v>
      </c>
      <c r="L45" s="702">
        <f>'Balance Sheet'!G50</f>
        <v>0</v>
      </c>
      <c r="M45" s="702">
        <f t="shared" si="4"/>
        <v>0</v>
      </c>
      <c r="N45" s="713">
        <f>IF(I45=0,0,M45/I45)</f>
        <v>0</v>
      </c>
    </row>
    <row r="46" spans="1:14" s="14" customFormat="1" ht="12.75">
      <c r="A46" s="697"/>
      <c r="B46" s="702"/>
      <c r="C46" s="702"/>
      <c r="D46" s="702"/>
      <c r="E46" s="713"/>
      <c r="F46" s="702"/>
      <c r="G46" s="702"/>
      <c r="H46" s="713"/>
      <c r="I46" s="702"/>
      <c r="J46" s="702"/>
      <c r="K46" s="713"/>
      <c r="L46" s="702"/>
      <c r="M46" s="702"/>
      <c r="N46" s="713"/>
    </row>
    <row r="47" spans="1:14" s="14" customFormat="1" ht="12.75">
      <c r="A47" s="697" t="s">
        <v>762</v>
      </c>
      <c r="B47" s="702">
        <f>'Balance Sheet'!C52</f>
        <v>-64164</v>
      </c>
      <c r="C47" s="702">
        <f>'Balance Sheet'!D52</f>
        <v>-1208.8500000000004</v>
      </c>
      <c r="D47" s="702">
        <f>C47-B47</f>
        <v>62955.15</v>
      </c>
      <c r="E47" s="713">
        <f>D47/B47</f>
        <v>-0.98115999625958483</v>
      </c>
      <c r="F47" s="702">
        <f>'Balance Sheet'!E52</f>
        <v>413749</v>
      </c>
      <c r="G47" s="702">
        <f>F47-C47</f>
        <v>414957.85</v>
      </c>
      <c r="H47" s="713">
        <f>G47/C47</f>
        <v>-343.26661703271691</v>
      </c>
      <c r="I47" s="702">
        <f>'Balance Sheet'!F52</f>
        <v>563777</v>
      </c>
      <c r="J47" s="702">
        <f t="shared" si="1"/>
        <v>150028</v>
      </c>
      <c r="K47" s="713">
        <f>J47/F47</f>
        <v>0.36260631445634917</v>
      </c>
      <c r="L47" s="702">
        <f>'Balance Sheet'!G52</f>
        <v>1080436</v>
      </c>
      <c r="M47" s="702">
        <f t="shared" si="4"/>
        <v>516659</v>
      </c>
      <c r="N47" s="713">
        <f>M47/I47</f>
        <v>0.91642440184682949</v>
      </c>
    </row>
    <row r="48" spans="1:14" s="14" customFormat="1" ht="15" customHeight="1">
      <c r="A48" s="695" t="s">
        <v>741</v>
      </c>
      <c r="B48" s="706">
        <f>'Balance Sheet'!C53</f>
        <v>75836</v>
      </c>
      <c r="C48" s="706">
        <f>'Balance Sheet'!D53</f>
        <v>74627.149999999994</v>
      </c>
      <c r="D48" s="706">
        <f>C48-B48</f>
        <v>-1208.8500000000058</v>
      </c>
      <c r="E48" s="714">
        <f>D48/B48</f>
        <v>-1.594031858220378E-2</v>
      </c>
      <c r="F48" s="706">
        <f>'Balance Sheet'!E53</f>
        <v>488376.15</v>
      </c>
      <c r="G48" s="706">
        <f>F48-C48</f>
        <v>413749</v>
      </c>
      <c r="H48" s="714">
        <f>G48/C48</f>
        <v>5.5442154765390352</v>
      </c>
      <c r="I48" s="706">
        <f>'Balance Sheet'!F53</f>
        <v>1052153.1499999999</v>
      </c>
      <c r="J48" s="706">
        <f t="shared" si="1"/>
        <v>563776.99999999988</v>
      </c>
      <c r="K48" s="714">
        <f>J48/F48</f>
        <v>1.1543909341191207</v>
      </c>
      <c r="L48" s="706">
        <f>'Balance Sheet'!G53</f>
        <v>2132589.15</v>
      </c>
      <c r="M48" s="706">
        <f t="shared" si="4"/>
        <v>1080436</v>
      </c>
      <c r="N48" s="714">
        <f>M48/I48</f>
        <v>1.0268809250820568</v>
      </c>
    </row>
    <row r="49" spans="1:14" s="633" customFormat="1" ht="15" customHeight="1">
      <c r="A49" s="956" t="s">
        <v>763</v>
      </c>
      <c r="B49" s="957"/>
      <c r="C49" s="957"/>
      <c r="D49" s="958"/>
      <c r="E49" s="959"/>
      <c r="F49" s="957"/>
      <c r="G49" s="958"/>
      <c r="H49" s="959"/>
      <c r="I49" s="957"/>
      <c r="J49" s="958"/>
      <c r="K49" s="959"/>
      <c r="L49" s="957"/>
      <c r="M49" s="958"/>
      <c r="N49" s="958"/>
    </row>
    <row r="50" spans="1:14" s="14" customFormat="1" ht="15" customHeight="1">
      <c r="A50" s="695" t="s">
        <v>741</v>
      </c>
      <c r="B50" s="706">
        <f>'Balance Sheet'!C56</f>
        <v>926</v>
      </c>
      <c r="C50" s="706">
        <f>'Balance Sheet'!D56</f>
        <v>7222</v>
      </c>
      <c r="D50" s="706">
        <f>C50-B50</f>
        <v>6296</v>
      </c>
      <c r="E50" s="714">
        <f>D50/B50</f>
        <v>6.7991360691144704</v>
      </c>
      <c r="F50" s="706">
        <f>'Balance Sheet'!E56</f>
        <v>24259</v>
      </c>
      <c r="G50" s="706">
        <f>F50-C50</f>
        <v>17037</v>
      </c>
      <c r="H50" s="714">
        <f>G50/C50</f>
        <v>2.3590418166712821</v>
      </c>
      <c r="I50" s="706">
        <f>'Balance Sheet'!F56</f>
        <v>48556</v>
      </c>
      <c r="J50" s="706">
        <f t="shared" si="1"/>
        <v>24297</v>
      </c>
      <c r="K50" s="714">
        <f>J50/F50</f>
        <v>1.0015664289542026</v>
      </c>
      <c r="L50" s="706">
        <f>'Balance Sheet'!G56</f>
        <v>81889</v>
      </c>
      <c r="M50" s="706">
        <f>L50-I50</f>
        <v>33333</v>
      </c>
      <c r="N50" s="714">
        <f>M50/I50</f>
        <v>0.68648570722464786</v>
      </c>
    </row>
    <row r="51" spans="1:14" s="633" customFormat="1" ht="15" customHeight="1">
      <c r="A51" s="956" t="s">
        <v>747</v>
      </c>
      <c r="B51" s="957"/>
      <c r="C51" s="957"/>
      <c r="D51" s="958"/>
      <c r="E51" s="959"/>
      <c r="F51" s="957"/>
      <c r="G51" s="958"/>
      <c r="H51" s="959"/>
      <c r="I51" s="957"/>
      <c r="J51" s="958"/>
      <c r="K51" s="959"/>
      <c r="L51" s="957"/>
      <c r="M51" s="958"/>
      <c r="N51" s="958"/>
    </row>
    <row r="52" spans="1:14" s="14" customFormat="1" ht="15" customHeight="1">
      <c r="A52" s="695" t="s">
        <v>741</v>
      </c>
      <c r="B52" s="706">
        <f>'Balance Sheet'!C59</f>
        <v>0</v>
      </c>
      <c r="C52" s="706">
        <f>'Balance Sheet'!D59</f>
        <v>0</v>
      </c>
      <c r="D52" s="706">
        <f>C52-B52</f>
        <v>0</v>
      </c>
      <c r="E52" s="714">
        <f>IF(B52=0,0,D52/B52)</f>
        <v>0</v>
      </c>
      <c r="F52" s="706">
        <f>'Balance Sheet'!E59</f>
        <v>0</v>
      </c>
      <c r="G52" s="706">
        <f>F52-C52</f>
        <v>0</v>
      </c>
      <c r="H52" s="714">
        <f>IF(C52=0,0,G52/C52)</f>
        <v>0</v>
      </c>
      <c r="I52" s="706">
        <f>'Balance Sheet'!F59</f>
        <v>0</v>
      </c>
      <c r="J52" s="706">
        <f t="shared" si="1"/>
        <v>0</v>
      </c>
      <c r="K52" s="714">
        <f>IF(F52=0,0,J52/F52)</f>
        <v>0</v>
      </c>
      <c r="L52" s="706">
        <f>'Balance Sheet'!G59</f>
        <v>0</v>
      </c>
      <c r="M52" s="706">
        <f>L52-I52</f>
        <v>0</v>
      </c>
      <c r="N52" s="714">
        <f>IF(I52=0,0,M52/I52)</f>
        <v>0</v>
      </c>
    </row>
    <row r="53" spans="1:14" s="633" customFormat="1" ht="15" customHeight="1">
      <c r="A53" s="956" t="s">
        <v>764</v>
      </c>
      <c r="B53" s="957"/>
      <c r="C53" s="957"/>
      <c r="D53" s="958"/>
      <c r="E53" s="959"/>
      <c r="F53" s="957"/>
      <c r="G53" s="958"/>
      <c r="H53" s="959"/>
      <c r="I53" s="957"/>
      <c r="J53" s="958"/>
      <c r="K53" s="959"/>
      <c r="L53" s="957"/>
      <c r="M53" s="958"/>
      <c r="N53" s="958"/>
    </row>
    <row r="54" spans="1:14" s="14" customFormat="1" ht="12.75">
      <c r="A54" s="697" t="s">
        <v>385</v>
      </c>
      <c r="B54" s="702">
        <f>'Balance Sheet'!C62</f>
        <v>200802</v>
      </c>
      <c r="C54" s="702">
        <f>'Balance Sheet'!D62</f>
        <v>162523.59201019825</v>
      </c>
      <c r="D54" s="702">
        <f>C54-B54</f>
        <v>-38278.407989801752</v>
      </c>
      <c r="E54" s="713">
        <f>D54/B54</f>
        <v>-0.19062762318005674</v>
      </c>
      <c r="F54" s="702">
        <f>'Balance Sheet'!E62</f>
        <v>123326.50222864126</v>
      </c>
      <c r="G54" s="702">
        <f>F54-C54</f>
        <v>-39197.089781556992</v>
      </c>
      <c r="H54" s="713">
        <f>IF(C54=0,0,G54/C54)</f>
        <v>-0.24117784560839264</v>
      </c>
      <c r="I54" s="702">
        <f>'Balance Sheet'!F62</f>
        <v>83188.682292326892</v>
      </c>
      <c r="J54" s="702">
        <f t="shared" si="1"/>
        <v>-40137.819936314365</v>
      </c>
      <c r="K54" s="713">
        <f>IF(F54=0,0,J54/F54)</f>
        <v>-0.32545980961902921</v>
      </c>
      <c r="L54" s="702">
        <f>'Balance Sheet'!G62</f>
        <v>42087.554677540989</v>
      </c>
      <c r="M54" s="702">
        <f>L54-I54</f>
        <v>-41101.127614785903</v>
      </c>
      <c r="N54" s="713">
        <f>IF(I54=0,0,M54/I54)</f>
        <v>-0.49407114624505793</v>
      </c>
    </row>
    <row r="55" spans="1:14" s="14" customFormat="1" ht="12.75">
      <c r="A55" s="697" t="s">
        <v>765</v>
      </c>
      <c r="B55" s="702">
        <f>'Balance Sheet'!C63</f>
        <v>282</v>
      </c>
      <c r="C55" s="702">
        <f>'Balance Sheet'!D63</f>
        <v>1711</v>
      </c>
      <c r="D55" s="702">
        <f>C55-B55</f>
        <v>1429</v>
      </c>
      <c r="E55" s="713">
        <f>D55/B55</f>
        <v>5.0673758865248226</v>
      </c>
      <c r="F55" s="702">
        <f>'Balance Sheet'!E63</f>
        <v>7600</v>
      </c>
      <c r="G55" s="702">
        <f>F55-C55</f>
        <v>5889</v>
      </c>
      <c r="H55" s="713">
        <f>IF(C55=0,0,G55/C55)</f>
        <v>3.4418468731735827</v>
      </c>
      <c r="I55" s="702">
        <f>'Balance Sheet'!F63</f>
        <v>11637</v>
      </c>
      <c r="J55" s="702">
        <f t="shared" si="1"/>
        <v>4037</v>
      </c>
      <c r="K55" s="713">
        <f>IF(F55=0,0,J55/F55)</f>
        <v>0.53118421052631581</v>
      </c>
      <c r="L55" s="702">
        <f>'Balance Sheet'!G63</f>
        <v>22402</v>
      </c>
      <c r="M55" s="702">
        <f>L55-I55</f>
        <v>10765</v>
      </c>
      <c r="N55" s="713">
        <f>IF(I55=0,0,M55/I55)</f>
        <v>0.92506659792042623</v>
      </c>
    </row>
    <row r="56" spans="1:14" s="14" customFormat="1" ht="12.75">
      <c r="A56" s="697" t="s">
        <v>730</v>
      </c>
      <c r="B56" s="702">
        <f>'Balance Sheet'!C64</f>
        <v>0</v>
      </c>
      <c r="C56" s="702">
        <f>'Balance Sheet'!D64</f>
        <v>0</v>
      </c>
      <c r="D56" s="702">
        <f>C56-B56</f>
        <v>0</v>
      </c>
      <c r="E56" s="713">
        <f>IF(B56=0,0,D56/B56)</f>
        <v>0</v>
      </c>
      <c r="F56" s="702">
        <f>'Balance Sheet'!E64</f>
        <v>51698</v>
      </c>
      <c r="G56" s="702">
        <f>F56-C56</f>
        <v>51698</v>
      </c>
      <c r="H56" s="713">
        <f>IF(C56=0,0,G56/C56)</f>
        <v>0</v>
      </c>
      <c r="I56" s="702">
        <f>'Balance Sheet'!F64</f>
        <v>43228</v>
      </c>
      <c r="J56" s="702">
        <f t="shared" si="1"/>
        <v>-8470</v>
      </c>
      <c r="K56" s="713">
        <f>IF(F56=0,0,J56/F56)</f>
        <v>-0.16383612518859531</v>
      </c>
      <c r="L56" s="702">
        <f>'Balance Sheet'!G64</f>
        <v>90776</v>
      </c>
      <c r="M56" s="702">
        <f>L56-I56</f>
        <v>47548</v>
      </c>
      <c r="N56" s="713">
        <f>IF(I56=0,0,M56/I56)</f>
        <v>1.0999352271675766</v>
      </c>
    </row>
    <row r="57" spans="1:14" s="14" customFormat="1" ht="12.75">
      <c r="A57" s="697" t="s">
        <v>731</v>
      </c>
      <c r="B57" s="702">
        <f>'Balance Sheet'!C65</f>
        <v>0</v>
      </c>
      <c r="C57" s="702">
        <f>'Balance Sheet'!D65</f>
        <v>0</v>
      </c>
      <c r="D57" s="702">
        <f>C57-B57</f>
        <v>0</v>
      </c>
      <c r="E57" s="713">
        <f>IF(B57=0,0,D57/B57)</f>
        <v>0</v>
      </c>
      <c r="F57" s="702">
        <f>'Balance Sheet'!E65</f>
        <v>0</v>
      </c>
      <c r="G57" s="702">
        <f>F57-C57</f>
        <v>0</v>
      </c>
      <c r="H57" s="713">
        <f>IF(C57=0,0,G57/C57)</f>
        <v>0</v>
      </c>
      <c r="I57" s="702">
        <f>'Balance Sheet'!F65</f>
        <v>0</v>
      </c>
      <c r="J57" s="702">
        <f t="shared" si="1"/>
        <v>0</v>
      </c>
      <c r="K57" s="713">
        <f>IF(F57=0,0,J57/F57)</f>
        <v>0</v>
      </c>
      <c r="L57" s="702">
        <f>'Balance Sheet'!G65</f>
        <v>0</v>
      </c>
      <c r="M57" s="702">
        <f>L57-I57</f>
        <v>0</v>
      </c>
      <c r="N57" s="713">
        <f>IF(I57=0,0,M57/I57)</f>
        <v>0</v>
      </c>
    </row>
    <row r="58" spans="1:14" s="14" customFormat="1" ht="15" customHeight="1">
      <c r="A58" s="695" t="s">
        <v>741</v>
      </c>
      <c r="B58" s="706">
        <f>'Balance Sheet'!C66</f>
        <v>201084</v>
      </c>
      <c r="C58" s="706">
        <f>'Balance Sheet'!D66</f>
        <v>164234.59201019825</v>
      </c>
      <c r="D58" s="706">
        <f>C58-B58</f>
        <v>-36849.407989801752</v>
      </c>
      <c r="E58" s="714">
        <f>D58/B58</f>
        <v>-0.18325380432954264</v>
      </c>
      <c r="F58" s="706">
        <f>'Balance Sheet'!E66</f>
        <v>182624.50222864124</v>
      </c>
      <c r="G58" s="706">
        <f>F58-C58</f>
        <v>18389.910218442994</v>
      </c>
      <c r="H58" s="714">
        <f>G58/C58</f>
        <v>0.11197342772526911</v>
      </c>
      <c r="I58" s="706">
        <f>'Balance Sheet'!F66</f>
        <v>138053.68229232688</v>
      </c>
      <c r="J58" s="706">
        <f t="shared" si="1"/>
        <v>-44570.819936314365</v>
      </c>
      <c r="K58" s="714">
        <f>J58/F58</f>
        <v>-0.24405717410532804</v>
      </c>
      <c r="L58" s="706">
        <f>'Balance Sheet'!G66</f>
        <v>155265.55467754099</v>
      </c>
      <c r="M58" s="706">
        <f>L58-I58</f>
        <v>17211.872385214112</v>
      </c>
      <c r="N58" s="714">
        <f>M58/I58</f>
        <v>0.12467521401398186</v>
      </c>
    </row>
    <row r="59" spans="1:14" s="633" customFormat="1" ht="15" customHeight="1">
      <c r="A59" s="956" t="s">
        <v>767</v>
      </c>
      <c r="B59" s="957"/>
      <c r="C59" s="957"/>
      <c r="D59" s="958"/>
      <c r="E59" s="959"/>
      <c r="F59" s="957"/>
      <c r="G59" s="958"/>
      <c r="H59" s="959"/>
      <c r="I59" s="957"/>
      <c r="J59" s="958"/>
      <c r="K59" s="959"/>
      <c r="L59" s="957"/>
      <c r="M59" s="958"/>
      <c r="N59" s="958"/>
    </row>
    <row r="60" spans="1:14" s="14" customFormat="1" ht="15" customHeight="1" thickBot="1">
      <c r="A60" s="695" t="s">
        <v>741</v>
      </c>
      <c r="B60" s="706">
        <f>'Balance Sheet'!C69</f>
        <v>0</v>
      </c>
      <c r="C60" s="706">
        <f>'Balance Sheet'!D69</f>
        <v>0</v>
      </c>
      <c r="D60" s="706">
        <f>C60-B60</f>
        <v>0</v>
      </c>
      <c r="E60" s="714">
        <f>IF(B60=0,0,D60/B60)</f>
        <v>0</v>
      </c>
      <c r="F60" s="706">
        <f>'Balance Sheet'!E69</f>
        <v>0</v>
      </c>
      <c r="G60" s="706">
        <f>F60-C60</f>
        <v>0</v>
      </c>
      <c r="H60" s="714">
        <f>IF(C60=0,0,G60/C60)</f>
        <v>0</v>
      </c>
      <c r="I60" s="706">
        <f>'Balance Sheet'!F69</f>
        <v>0</v>
      </c>
      <c r="J60" s="706">
        <f t="shared" si="1"/>
        <v>0</v>
      </c>
      <c r="K60" s="714">
        <f>IF(F60=0,0,J60/F60)</f>
        <v>0</v>
      </c>
      <c r="L60" s="706">
        <f>'Balance Sheet'!G69</f>
        <v>0</v>
      </c>
      <c r="M60" s="706">
        <f>L60-I60</f>
        <v>0</v>
      </c>
      <c r="N60" s="714">
        <f>IF(I60=0,0,M60/I60)</f>
        <v>0</v>
      </c>
    </row>
    <row r="61" spans="1:14" s="14" customFormat="1" ht="13.5" thickBot="1">
      <c r="A61" s="699" t="s">
        <v>740</v>
      </c>
      <c r="B61" s="727">
        <f>'Balance Sheet'!C71</f>
        <v>277846</v>
      </c>
      <c r="C61" s="727">
        <f>'Balance Sheet'!D71</f>
        <v>246083.74201019824</v>
      </c>
      <c r="D61" s="727">
        <f>C61-B61</f>
        <v>-31762.257989801758</v>
      </c>
      <c r="E61" s="718">
        <f>D61/B61</f>
        <v>-0.1143160527407332</v>
      </c>
      <c r="F61" s="727">
        <f>'Balance Sheet'!E71</f>
        <v>695259.65222864132</v>
      </c>
      <c r="G61" s="727">
        <f>F61-C61</f>
        <v>449175.91021844308</v>
      </c>
      <c r="H61" s="718">
        <f>G61/C61</f>
        <v>1.825296976343233</v>
      </c>
      <c r="I61" s="727">
        <f>'Balance Sheet'!F71</f>
        <v>1238762.8322923267</v>
      </c>
      <c r="J61" s="727">
        <f t="shared" si="1"/>
        <v>543503.1800636854</v>
      </c>
      <c r="K61" s="718">
        <f>J61/F61</f>
        <v>0.78172691068940436</v>
      </c>
      <c r="L61" s="727">
        <f>'Balance Sheet'!G71</f>
        <v>2369743.7046775408</v>
      </c>
      <c r="M61" s="727">
        <f>L61-I61</f>
        <v>1130980.8723852141</v>
      </c>
      <c r="N61" s="718">
        <f>M61/I61</f>
        <v>0.91299225558159303</v>
      </c>
    </row>
    <row r="62" spans="1:14" ht="15.75" thickBot="1"/>
    <row r="63" spans="1:14" ht="13.5" thickBot="1">
      <c r="A63" s="700" t="s">
        <v>154</v>
      </c>
      <c r="B63" s="700">
        <f>+B36-B61</f>
        <v>0</v>
      </c>
      <c r="C63" s="700">
        <f>+C36-C61</f>
        <v>8.389801747398451E-3</v>
      </c>
      <c r="D63" s="700">
        <f>+D36-D61</f>
        <v>8.389801747398451E-3</v>
      </c>
      <c r="E63" s="700">
        <f t="shared" ref="E63:N63" si="5">+E36-E61</f>
        <v>3.019587017927261E-8</v>
      </c>
      <c r="F63" s="700">
        <f t="shared" si="5"/>
        <v>-0.15142864128574729</v>
      </c>
      <c r="G63" s="700">
        <f t="shared" si="5"/>
        <v>-0.15981844306224957</v>
      </c>
      <c r="H63" s="700">
        <f t="shared" si="5"/>
        <v>-7.1167772164315579E-7</v>
      </c>
      <c r="I63" s="700">
        <f t="shared" si="5"/>
        <v>0.41890767333097756</v>
      </c>
      <c r="J63" s="700">
        <f t="shared" si="5"/>
        <v>0.57033631461672485</v>
      </c>
      <c r="K63" s="700">
        <f t="shared" si="5"/>
        <v>9.9058287983400106E-7</v>
      </c>
      <c r="L63" s="700">
        <f t="shared" si="5"/>
        <v>0.29692245926707983</v>
      </c>
      <c r="M63" s="700">
        <f t="shared" si="5"/>
        <v>-0.12198521406389773</v>
      </c>
      <c r="N63" s="700">
        <f t="shared" si="5"/>
        <v>-4.0721637084573103E-7</v>
      </c>
    </row>
  </sheetData>
  <phoneticPr fontId="68" type="noConversion"/>
  <pageMargins left="0.70000000000000007" right="0.39" top="0.75000000000000011" bottom="0.75000000000000011" header="0.30000000000000004" footer="0.30000000000000004"/>
  <pageSetup scale="52" orientation="landscape" horizontalDpi="300" verticalDpi="30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249977111117893"/>
    <pageSetUpPr fitToPage="1"/>
  </sheetPr>
  <dimension ref="A1:G64"/>
  <sheetViews>
    <sheetView showGridLines="0" topLeftCell="A37" workbookViewId="0">
      <selection activeCell="C36" sqref="C36"/>
    </sheetView>
  </sheetViews>
  <sheetFormatPr defaultColWidth="8.85546875" defaultRowHeight="12.75"/>
  <cols>
    <col min="1" max="1" width="58.42578125" style="17" customWidth="1"/>
    <col min="2" max="5" width="12.42578125" style="18" customWidth="1"/>
    <col min="6" max="6" width="12.42578125" style="13" customWidth="1"/>
    <col min="7" max="7" width="10.85546875" style="13" customWidth="1"/>
    <col min="8" max="16384" width="8.85546875" style="13"/>
  </cols>
  <sheetData>
    <row r="1" spans="1:7" ht="21.75" customHeight="1">
      <c r="A1" s="945" t="s">
        <v>1319</v>
      </c>
      <c r="B1" s="947"/>
      <c r="C1" s="947"/>
      <c r="D1" s="947"/>
      <c r="E1" s="947"/>
      <c r="F1" s="947"/>
    </row>
    <row r="2" spans="1:7" s="14" customFormat="1" ht="13.5" customHeight="1" thickBot="1">
      <c r="A2" s="22"/>
      <c r="B2" s="152"/>
      <c r="C2" s="20"/>
      <c r="D2" s="20"/>
      <c r="E2" s="20"/>
      <c r="F2" s="20"/>
    </row>
    <row r="3" spans="1:7" ht="13.5" customHeight="1">
      <c r="A3" s="731" t="s">
        <v>810</v>
      </c>
      <c r="B3" s="730" t="str">
        <f>'Income Statement'!C3</f>
        <v>year X</v>
      </c>
      <c r="C3" s="730" t="str">
        <f>'Income Statement'!D3</f>
        <v>year X+1</v>
      </c>
      <c r="D3" s="730" t="str">
        <f>'Income Statement'!E3</f>
        <v>year X+2</v>
      </c>
      <c r="E3" s="730" t="str">
        <f>'Income Statement'!F3</f>
        <v>year X+3</v>
      </c>
      <c r="F3" s="730" t="str">
        <f>'Income Statement'!G3</f>
        <v>year X+4</v>
      </c>
    </row>
    <row r="4" spans="1:7" ht="13.5" customHeight="1">
      <c r="A4" s="732" t="s">
        <v>816</v>
      </c>
      <c r="B4" s="949">
        <f>'Income Statement'!C60</f>
        <v>-64164</v>
      </c>
      <c r="C4" s="949">
        <f>'Income Statement'!D60</f>
        <v>-1208.8500000000004</v>
      </c>
      <c r="D4" s="949">
        <f>'Income Statement'!E60</f>
        <v>413749</v>
      </c>
      <c r="E4" s="949">
        <f>'Income Statement'!F60</f>
        <v>563777</v>
      </c>
      <c r="F4" s="949">
        <f>'Income Statement'!G60</f>
        <v>1080436</v>
      </c>
    </row>
    <row r="5" spans="1:7" ht="13.5" customHeight="1">
      <c r="A5" s="732" t="s">
        <v>817</v>
      </c>
      <c r="B5" s="949">
        <f>-'Income Statement'!C58</f>
        <v>0</v>
      </c>
      <c r="C5" s="949">
        <f>-'Income Statement'!D58</f>
        <v>0</v>
      </c>
      <c r="D5" s="949">
        <f>-'Income Statement'!E58</f>
        <v>39217</v>
      </c>
      <c r="E5" s="949">
        <f>-'Income Statement'!F58</f>
        <v>62751</v>
      </c>
      <c r="F5" s="949">
        <f>-'Income Statement'!G58</f>
        <v>120051</v>
      </c>
    </row>
    <row r="6" spans="1:7" ht="13.5" customHeight="1">
      <c r="A6" s="732" t="s">
        <v>818</v>
      </c>
      <c r="B6" s="949">
        <f>-'Income Statement'!C54</f>
        <v>0</v>
      </c>
      <c r="C6" s="949">
        <f>-'Income Statement'!D54</f>
        <v>0</v>
      </c>
      <c r="D6" s="949">
        <f>-'Income Statement'!E54</f>
        <v>0</v>
      </c>
      <c r="E6" s="949">
        <f>-'Income Statement'!F54</f>
        <v>0</v>
      </c>
      <c r="F6" s="949">
        <f>-'Income Statement'!G54</f>
        <v>0</v>
      </c>
    </row>
    <row r="7" spans="1:7" ht="13.5" customHeight="1">
      <c r="A7" s="732" t="s">
        <v>805</v>
      </c>
      <c r="B7" s="949">
        <f>-'Income Statement'!C52-'Income Statement'!C30</f>
        <v>0</v>
      </c>
      <c r="C7" s="949">
        <f>-'Income Statement'!D52-'Income Statement'!D30</f>
        <v>0</v>
      </c>
      <c r="D7" s="949">
        <f>-'Income Statement'!E52-'Income Statement'!E30</f>
        <v>0</v>
      </c>
      <c r="E7" s="949">
        <f>-'Income Statement'!F52-'Income Statement'!F30</f>
        <v>0</v>
      </c>
      <c r="F7" s="949">
        <f>-'Income Statement'!G52-'Income Statement'!G30</f>
        <v>0</v>
      </c>
    </row>
    <row r="8" spans="1:7" ht="13.5" customHeight="1">
      <c r="A8" s="732" t="s">
        <v>819</v>
      </c>
      <c r="B8" s="949">
        <f>-'Income Statement'!C50</f>
        <v>11124</v>
      </c>
      <c r="C8" s="949">
        <f>-'Income Statement'!D50</f>
        <v>10767.85</v>
      </c>
      <c r="D8" s="949">
        <f>-'Income Statement'!E50</f>
        <v>7904</v>
      </c>
      <c r="E8" s="949">
        <f>-'Income Statement'!F50</f>
        <v>4901</v>
      </c>
      <c r="F8" s="949">
        <f>-'Income Statement'!G50</f>
        <v>1747</v>
      </c>
    </row>
    <row r="9" spans="1:7" ht="13.5" customHeight="1">
      <c r="A9" s="732" t="s">
        <v>869</v>
      </c>
      <c r="B9" s="949">
        <f>-'Income Statement'!C27</f>
        <v>0</v>
      </c>
      <c r="C9" s="949">
        <f>-'Income Statement'!D27</f>
        <v>0</v>
      </c>
      <c r="D9" s="949">
        <f>-'Income Statement'!E27</f>
        <v>0</v>
      </c>
      <c r="E9" s="949">
        <f>-'Income Statement'!F27</f>
        <v>0</v>
      </c>
      <c r="F9" s="949">
        <f>-'Income Statement'!G27</f>
        <v>0</v>
      </c>
    </row>
    <row r="10" spans="1:7" ht="13.5" customHeight="1">
      <c r="A10" s="732" t="s">
        <v>787</v>
      </c>
      <c r="B10" s="949">
        <f>-'Income Statement'!C28</f>
        <v>24500</v>
      </c>
      <c r="C10" s="949">
        <f>-'Income Statement'!D28</f>
        <v>49000</v>
      </c>
      <c r="D10" s="949">
        <f>-'Income Statement'!E28</f>
        <v>78000</v>
      </c>
      <c r="E10" s="949">
        <f>-'Income Statement'!F28</f>
        <v>104800</v>
      </c>
      <c r="F10" s="949">
        <f>-'Income Statement'!G28</f>
        <v>142000</v>
      </c>
    </row>
    <row r="11" spans="1:7" ht="13.5" customHeight="1">
      <c r="A11" s="679" t="s">
        <v>725</v>
      </c>
      <c r="B11" s="726">
        <f>SUM(B4:B10)</f>
        <v>-28540</v>
      </c>
      <c r="C11" s="950">
        <f>SUM(C4:C10)</f>
        <v>58559</v>
      </c>
      <c r="D11" s="950">
        <f>SUM(D4:D10)</f>
        <v>538870</v>
      </c>
      <c r="E11" s="950">
        <f>SUM(E4:E10)</f>
        <v>736229</v>
      </c>
      <c r="F11" s="950">
        <f>SUM(F4:F10)</f>
        <v>1344234</v>
      </c>
      <c r="G11" s="17"/>
    </row>
    <row r="12" spans="1:7" ht="13.5" customHeight="1">
      <c r="A12" s="732" t="s">
        <v>820</v>
      </c>
      <c r="B12" s="949">
        <f>B41</f>
        <v>-56995</v>
      </c>
      <c r="C12" s="949">
        <f>C41</f>
        <v>34540</v>
      </c>
      <c r="D12" s="949">
        <f>D41</f>
        <v>69347</v>
      </c>
      <c r="E12" s="949">
        <f>E41</f>
        <v>-9520</v>
      </c>
      <c r="F12" s="949">
        <f>F41</f>
        <v>47777</v>
      </c>
    </row>
    <row r="13" spans="1:7" ht="13.5" customHeight="1">
      <c r="A13" s="732" t="s">
        <v>821</v>
      </c>
      <c r="B13" s="949">
        <f>'Balance Sheet'!C59-'Balance Sheet'!B59</f>
        <v>0</v>
      </c>
      <c r="C13" s="949">
        <f>'Balance Sheet'!D59-'Balance Sheet'!C59</f>
        <v>0</v>
      </c>
      <c r="D13" s="949">
        <f>'Balance Sheet'!E59-'Balance Sheet'!D59</f>
        <v>0</v>
      </c>
      <c r="E13" s="949">
        <f>'Balance Sheet'!F59-'Balance Sheet'!E59</f>
        <v>0</v>
      </c>
      <c r="F13" s="949">
        <f>'Balance Sheet'!G59-'Balance Sheet'!F59</f>
        <v>0</v>
      </c>
    </row>
    <row r="14" spans="1:7" ht="13.5" customHeight="1">
      <c r="A14" s="733" t="s">
        <v>1576</v>
      </c>
      <c r="B14" s="949">
        <f>'Balance Sheet'!C56</f>
        <v>926</v>
      </c>
      <c r="C14" s="949">
        <f>'Balance Sheet'!D56-'Balance Sheet'!C56</f>
        <v>6296</v>
      </c>
      <c r="D14" s="949">
        <f>'Balance Sheet'!E56-'Balance Sheet'!D56</f>
        <v>17037</v>
      </c>
      <c r="E14" s="949">
        <f>'Balance Sheet'!F56-'Balance Sheet'!E56</f>
        <v>24297</v>
      </c>
      <c r="F14" s="949">
        <f>'Balance Sheet'!G56-'Balance Sheet'!F56</f>
        <v>33333</v>
      </c>
    </row>
    <row r="15" spans="1:7" ht="13.5" customHeight="1">
      <c r="A15" s="732" t="s">
        <v>822</v>
      </c>
      <c r="B15" s="949">
        <f>B48</f>
        <v>-245069</v>
      </c>
      <c r="C15" s="949">
        <f>C48</f>
        <v>-352</v>
      </c>
      <c r="D15" s="949">
        <f>D48</f>
        <v>-147248</v>
      </c>
      <c r="E15" s="949">
        <f>E48</f>
        <v>-133993</v>
      </c>
      <c r="F15" s="949">
        <f>F48</f>
        <v>-188558</v>
      </c>
    </row>
    <row r="16" spans="1:7" ht="13.5" customHeight="1">
      <c r="A16" s="679" t="s">
        <v>788</v>
      </c>
      <c r="B16" s="950">
        <f>SUM(B11:B15)</f>
        <v>-329678</v>
      </c>
      <c r="C16" s="950">
        <f>SUM(C11:C15)</f>
        <v>99043</v>
      </c>
      <c r="D16" s="950">
        <f>SUM(D11:D15)</f>
        <v>478006</v>
      </c>
      <c r="E16" s="950">
        <f>SUM(E11:E15)</f>
        <v>617013</v>
      </c>
      <c r="F16" s="950">
        <f>SUM(F11:F15)</f>
        <v>1236786</v>
      </c>
      <c r="G16" s="17"/>
    </row>
    <row r="17" spans="1:7" ht="13.5" customHeight="1">
      <c r="A17" s="732" t="s">
        <v>819</v>
      </c>
      <c r="B17" s="949">
        <f>'Income Statement'!C50</f>
        <v>-11124</v>
      </c>
      <c r="C17" s="949">
        <f>'Income Statement'!D50</f>
        <v>-10767.85</v>
      </c>
      <c r="D17" s="949">
        <f>'Income Statement'!E50</f>
        <v>-7904</v>
      </c>
      <c r="E17" s="949">
        <f>'Income Statement'!F50</f>
        <v>-4901</v>
      </c>
      <c r="F17" s="949">
        <f>'Income Statement'!G50</f>
        <v>-1747</v>
      </c>
    </row>
    <row r="18" spans="1:7" ht="13.5" customHeight="1">
      <c r="A18" s="732" t="s">
        <v>789</v>
      </c>
      <c r="B18" s="949">
        <f>B52</f>
        <v>200802</v>
      </c>
      <c r="C18" s="949">
        <f>C52</f>
        <v>-38278.407989801752</v>
      </c>
      <c r="D18" s="949">
        <f>D52</f>
        <v>-39197.089781556992</v>
      </c>
      <c r="E18" s="949">
        <f>E52</f>
        <v>-40137.819936314365</v>
      </c>
      <c r="F18" s="949">
        <f>F52</f>
        <v>-41101.127614785903</v>
      </c>
    </row>
    <row r="19" spans="1:7" ht="13.5" customHeight="1">
      <c r="A19" s="734" t="s">
        <v>790</v>
      </c>
      <c r="B19" s="951">
        <f>B58</f>
        <v>140000</v>
      </c>
      <c r="C19" s="951">
        <f>C58-B4</f>
        <v>0</v>
      </c>
      <c r="D19" s="951">
        <f>D58-C4</f>
        <v>1.8189894035458565E-12</v>
      </c>
      <c r="E19" s="951">
        <f>E58-D4</f>
        <v>0</v>
      </c>
      <c r="F19" s="951">
        <f>F58-E4</f>
        <v>0</v>
      </c>
    </row>
    <row r="20" spans="1:7" ht="13.5" customHeight="1">
      <c r="A20" s="732" t="s">
        <v>818</v>
      </c>
      <c r="B20" s="949">
        <f>'Income Statement'!C54</f>
        <v>0</v>
      </c>
      <c r="C20" s="949">
        <f>'Income Statement'!D54</f>
        <v>0</v>
      </c>
      <c r="D20" s="949">
        <f>'Income Statement'!E54</f>
        <v>0</v>
      </c>
      <c r="E20" s="949">
        <f>'Income Statement'!F54</f>
        <v>0</v>
      </c>
      <c r="F20" s="949">
        <f>'Income Statement'!G54</f>
        <v>0</v>
      </c>
    </row>
    <row r="21" spans="1:7" ht="13.5" customHeight="1">
      <c r="A21" s="732" t="s">
        <v>805</v>
      </c>
      <c r="B21" s="949">
        <f>'Income Statement'!C52+'Income Statement'!C30</f>
        <v>0</v>
      </c>
      <c r="C21" s="949">
        <f>'Income Statement'!D52+'Income Statement'!D30</f>
        <v>0</v>
      </c>
      <c r="D21" s="949">
        <f>'Income Statement'!E52+'Income Statement'!E30</f>
        <v>0</v>
      </c>
      <c r="E21" s="949">
        <f>'Income Statement'!F52+'Income Statement'!F30</f>
        <v>0</v>
      </c>
      <c r="F21" s="949">
        <f>'Income Statement'!G52+'Income Statement'!G30</f>
        <v>0</v>
      </c>
    </row>
    <row r="22" spans="1:7" ht="13.5" customHeight="1">
      <c r="A22" s="732" t="s">
        <v>817</v>
      </c>
      <c r="B22" s="949">
        <f>'Income Statement'!C58</f>
        <v>0</v>
      </c>
      <c r="C22" s="949">
        <f>'Income Statement'!D58</f>
        <v>0</v>
      </c>
      <c r="D22" s="949">
        <f>'Income Statement'!E58</f>
        <v>-39217</v>
      </c>
      <c r="E22" s="949">
        <f>'Income Statement'!F58</f>
        <v>-62751</v>
      </c>
      <c r="F22" s="949">
        <f>'Income Statement'!G58</f>
        <v>-120051</v>
      </c>
      <c r="G22" s="143"/>
    </row>
    <row r="23" spans="1:7" ht="13.5" customHeight="1">
      <c r="A23" s="679" t="s">
        <v>791</v>
      </c>
      <c r="B23" s="950">
        <f>SUM(B16:B22)</f>
        <v>0</v>
      </c>
      <c r="C23" s="950">
        <f>SUM(C16:C22)</f>
        <v>49996.742010198242</v>
      </c>
      <c r="D23" s="950">
        <f>SUM(D16:D22)</f>
        <v>391687.91021844302</v>
      </c>
      <c r="E23" s="950">
        <f>SUM(E16:E22)</f>
        <v>509223.18006368564</v>
      </c>
      <c r="F23" s="950">
        <f>SUM(F16:F22)</f>
        <v>1073886.8723852141</v>
      </c>
    </row>
    <row r="24" spans="1:7" ht="13.5" customHeight="1">
      <c r="A24" s="732"/>
      <c r="B24" s="949"/>
      <c r="C24" s="949"/>
      <c r="D24" s="949"/>
      <c r="E24" s="949"/>
      <c r="F24" s="949"/>
      <c r="G24" s="144"/>
    </row>
    <row r="25" spans="1:7" ht="13.5" customHeight="1">
      <c r="A25" s="732" t="s">
        <v>823</v>
      </c>
      <c r="B25" s="949">
        <f>'Balance Sheet'!B34</f>
        <v>0</v>
      </c>
      <c r="C25" s="949">
        <f>'Balance Sheet'!C34</f>
        <v>0</v>
      </c>
      <c r="D25" s="949">
        <f>'Balance Sheet'!D34</f>
        <v>49996.750399999997</v>
      </c>
      <c r="E25" s="949">
        <f>'Balance Sheet'!E34</f>
        <v>441684.50079999998</v>
      </c>
      <c r="F25" s="949">
        <f>'Balance Sheet'!F34</f>
        <v>950908.25120000006</v>
      </c>
    </row>
    <row r="26" spans="1:7" ht="13.5" customHeight="1">
      <c r="A26" s="732" t="s">
        <v>824</v>
      </c>
      <c r="B26" s="949">
        <f>'Balance Sheet'!C34</f>
        <v>0</v>
      </c>
      <c r="C26" s="949">
        <f>'Balance Sheet'!D34</f>
        <v>49996.750399999997</v>
      </c>
      <c r="D26" s="949">
        <f>'Balance Sheet'!E34</f>
        <v>441684.50079999998</v>
      </c>
      <c r="E26" s="949">
        <f>'Balance Sheet'!F34</f>
        <v>950908.25120000006</v>
      </c>
      <c r="F26" s="949">
        <f>'Balance Sheet'!G34</f>
        <v>2024795.0016000001</v>
      </c>
    </row>
    <row r="27" spans="1:7" ht="13.5" customHeight="1" thickBot="1">
      <c r="A27" s="735" t="s">
        <v>806</v>
      </c>
      <c r="B27" s="952">
        <f>B26-B25</f>
        <v>0</v>
      </c>
      <c r="C27" s="952">
        <f>C26-C25</f>
        <v>49996.750399999997</v>
      </c>
      <c r="D27" s="952">
        <f>D26-D25</f>
        <v>391687.75039999996</v>
      </c>
      <c r="E27" s="952">
        <f>E26-E25</f>
        <v>509223.75040000008</v>
      </c>
      <c r="F27" s="952">
        <f>F26-F25</f>
        <v>1073886.7504</v>
      </c>
    </row>
    <row r="28" spans="1:7" ht="13.5" customHeight="1" thickBot="1">
      <c r="B28" s="13"/>
      <c r="C28" s="13"/>
      <c r="D28" s="13"/>
      <c r="E28" s="13"/>
    </row>
    <row r="29" spans="1:7" ht="18" customHeight="1" thickBot="1">
      <c r="A29" s="1023" t="s">
        <v>154</v>
      </c>
      <c r="B29" s="1024">
        <f>+B23-B27</f>
        <v>0</v>
      </c>
      <c r="C29" s="1024">
        <f>+C23-C27</f>
        <v>-8.3898017546744086E-3</v>
      </c>
      <c r="D29" s="1024">
        <f>+D23-D27</f>
        <v>0.15981844306224957</v>
      </c>
      <c r="E29" s="1024">
        <f>+E23-E27</f>
        <v>-0.57033631444210187</v>
      </c>
      <c r="F29" s="1024">
        <f>+F23-F27</f>
        <v>0.12198521406389773</v>
      </c>
    </row>
    <row r="30" spans="1:7" ht="13.5" customHeight="1">
      <c r="B30" s="13"/>
      <c r="C30" s="13"/>
      <c r="D30" s="13"/>
      <c r="E30" s="13"/>
    </row>
    <row r="31" spans="1:7" ht="13.5" customHeight="1">
      <c r="A31" s="625" t="s">
        <v>814</v>
      </c>
      <c r="B31" s="626" t="str">
        <f>B3</f>
        <v>year X</v>
      </c>
      <c r="C31" s="626" t="str">
        <f>C3</f>
        <v>year X+1</v>
      </c>
      <c r="D31" s="626" t="str">
        <f>D3</f>
        <v>year X+2</v>
      </c>
      <c r="E31" s="626" t="str">
        <f>E3</f>
        <v>year X+3</v>
      </c>
      <c r="F31" s="626" t="str">
        <f>F3</f>
        <v>year X+4</v>
      </c>
    </row>
    <row r="32" spans="1:7" ht="13.5" customHeight="1">
      <c r="A32" s="41" t="s">
        <v>793</v>
      </c>
      <c r="B32" s="953">
        <f>-'Balance Sheet'!C23</f>
        <v>0</v>
      </c>
      <c r="C32" s="953">
        <f>-'Balance Sheet Variation'!D21</f>
        <v>0</v>
      </c>
      <c r="D32" s="953">
        <f>-'Balance Sheet Variation'!G21</f>
        <v>0</v>
      </c>
      <c r="E32" s="953">
        <f>-'Balance Sheet Variation'!J21</f>
        <v>0</v>
      </c>
      <c r="F32" s="953">
        <f>-'Balance Sheet Variation'!M21</f>
        <v>0</v>
      </c>
    </row>
    <row r="33" spans="1:6" ht="13.5" customHeight="1">
      <c r="A33" s="41" t="s">
        <v>794</v>
      </c>
      <c r="B33" s="953">
        <f>-'Balance Sheet'!C28</f>
        <v>-56821</v>
      </c>
      <c r="C33" s="953">
        <f>-'Balance Sheet'!D28+'Balance Sheet'!C28</f>
        <v>35391</v>
      </c>
      <c r="D33" s="953">
        <f>-'Balance Sheet'!E28+'Balance Sheet'!D28</f>
        <v>21430</v>
      </c>
      <c r="E33" s="953">
        <f>-'Balance Sheet'!F28+'Balance Sheet'!E28</f>
        <v>0</v>
      </c>
      <c r="F33" s="953">
        <f>-'Balance Sheet'!G28+'Balance Sheet'!F28</f>
        <v>0</v>
      </c>
    </row>
    <row r="34" spans="1:6" ht="13.5" customHeight="1">
      <c r="A34" s="41" t="s">
        <v>373</v>
      </c>
      <c r="B34" s="953">
        <f>-('Balance Sheet'!C25+'Balance Sheet'!C26+'Balance Sheet'!C27)</f>
        <v>-456</v>
      </c>
      <c r="C34" s="953">
        <f>-('Balance Sheet'!D27+'Balance Sheet'!D26+'Balance Sheet'!D25-'Balance Sheet'!C27-'Balance Sheet'!C26-'Balance Sheet'!C25)</f>
        <v>-2280</v>
      </c>
      <c r="D34" s="953">
        <f>-('Balance Sheet'!E27+'Balance Sheet'!E26+'Balance Sheet'!E25-'Balance Sheet'!D27-'Balance Sheet'!D26-'Balance Sheet'!D25)</f>
        <v>-9670</v>
      </c>
      <c r="E34" s="953">
        <f>-('Balance Sheet'!F27+'Balance Sheet'!F26+'Balance Sheet'!F25-'Balance Sheet'!E27-'Balance Sheet'!E26-'Balance Sheet'!E25)</f>
        <v>-5087</v>
      </c>
      <c r="F34" s="953">
        <f>-('Balance Sheet'!G27+'Balance Sheet'!G26+'Balance Sheet'!G25-'Balance Sheet'!F27-'Balance Sheet'!F26-'Balance Sheet'!F25)</f>
        <v>-10536</v>
      </c>
    </row>
    <row r="35" spans="1:6">
      <c r="A35" s="41" t="s">
        <v>807</v>
      </c>
      <c r="B35" s="953">
        <f>-'Balance Sheet Variation'!B33</f>
        <v>0</v>
      </c>
      <c r="C35" s="953">
        <f>-'Balance Sheet Variation'!D33</f>
        <v>0</v>
      </c>
      <c r="D35" s="953">
        <f>-'Balance Sheet Variation'!G33</f>
        <v>0</v>
      </c>
      <c r="E35" s="953">
        <f>-'Balance Sheet Variation'!J33</f>
        <v>0</v>
      </c>
      <c r="F35" s="953">
        <f>-'Balance Sheet Variation'!M33</f>
        <v>0</v>
      </c>
    </row>
    <row r="36" spans="1:6">
      <c r="A36" s="41" t="s">
        <v>808</v>
      </c>
      <c r="B36" s="953">
        <f>-'Balance Sheet Variation'!B19</f>
        <v>0</v>
      </c>
      <c r="C36" s="953">
        <f>-'Balance Sheet Variation'!D19</f>
        <v>0</v>
      </c>
      <c r="D36" s="953">
        <f>-'Balance Sheet Variation'!G19</f>
        <v>0</v>
      </c>
      <c r="E36" s="953">
        <f>-'Balance Sheet Variation'!J19</f>
        <v>0</v>
      </c>
      <c r="F36" s="953">
        <f>-'Balance Sheet Variation'!M19</f>
        <v>0</v>
      </c>
    </row>
    <row r="37" spans="1:6">
      <c r="A37" s="41" t="s">
        <v>815</v>
      </c>
      <c r="B37" s="953">
        <f>'Balance Sheet Variation'!B60</f>
        <v>0</v>
      </c>
      <c r="C37" s="953">
        <f>'Balance Sheet Variation'!D60</f>
        <v>0</v>
      </c>
      <c r="D37" s="953">
        <f>'Balance Sheet Variation'!G60</f>
        <v>0</v>
      </c>
      <c r="E37" s="953">
        <f>'Balance Sheet Variation'!J60</f>
        <v>0</v>
      </c>
      <c r="F37" s="953">
        <f>'Balance Sheet Variation'!M60</f>
        <v>0</v>
      </c>
    </row>
    <row r="38" spans="1:6">
      <c r="A38" s="41" t="s">
        <v>809</v>
      </c>
      <c r="B38" s="953">
        <f>'Balance Sheet'!C64</f>
        <v>0</v>
      </c>
      <c r="C38" s="953">
        <f>'Balance Sheet'!D64-'Balance Sheet'!C64</f>
        <v>0</v>
      </c>
      <c r="D38" s="953">
        <f>'Balance Sheet'!E64-'Balance Sheet'!D64</f>
        <v>51698</v>
      </c>
      <c r="E38" s="953">
        <f>'Balance Sheet'!F64-'Balance Sheet'!E64</f>
        <v>-8470</v>
      </c>
      <c r="F38" s="953">
        <f>'Balance Sheet'!G64-'Balance Sheet'!F64</f>
        <v>47548</v>
      </c>
    </row>
    <row r="39" spans="1:6">
      <c r="A39" s="41" t="s">
        <v>795</v>
      </c>
      <c r="B39" s="953">
        <f>'Balance Sheet Variation'!B57</f>
        <v>0</v>
      </c>
      <c r="C39" s="953">
        <f>'Balance Sheet Variation'!D57</f>
        <v>0</v>
      </c>
      <c r="D39" s="953">
        <f>'Balance Sheet Variation'!G57</f>
        <v>0</v>
      </c>
      <c r="E39" s="953">
        <f>'Balance Sheet Variation'!J57</f>
        <v>0</v>
      </c>
      <c r="F39" s="953">
        <f>'Balance Sheet Variation'!M57</f>
        <v>0</v>
      </c>
    </row>
    <row r="40" spans="1:6">
      <c r="A40" s="41" t="s">
        <v>796</v>
      </c>
      <c r="B40" s="953">
        <f>'Balance Sheet Variation'!B55</f>
        <v>282</v>
      </c>
      <c r="C40" s="953">
        <f>'Balance Sheet'!D63-'Balance Sheet'!C63</f>
        <v>1429</v>
      </c>
      <c r="D40" s="953">
        <f>'Balance Sheet'!E63-'Balance Sheet'!D63</f>
        <v>5889</v>
      </c>
      <c r="E40" s="953">
        <f>'Balance Sheet'!F63-'Balance Sheet'!E63</f>
        <v>4037</v>
      </c>
      <c r="F40" s="953">
        <f>'Balance Sheet'!G63-'Balance Sheet'!F63</f>
        <v>10765</v>
      </c>
    </row>
    <row r="41" spans="1:6">
      <c r="A41" s="43" t="s">
        <v>792</v>
      </c>
      <c r="B41" s="954">
        <f>SUM(B32:B40)</f>
        <v>-56995</v>
      </c>
      <c r="C41" s="954">
        <f>SUM(C32:C40)</f>
        <v>34540</v>
      </c>
      <c r="D41" s="954">
        <f>SUM(D32:D40)</f>
        <v>69347</v>
      </c>
      <c r="E41" s="954">
        <f>SUM(E32:E40)</f>
        <v>-9520</v>
      </c>
      <c r="F41" s="954">
        <f>SUM(F32:F40)</f>
        <v>47777</v>
      </c>
    </row>
    <row r="42" spans="1:6">
      <c r="B42" s="172"/>
      <c r="C42" s="172"/>
      <c r="D42" s="172"/>
      <c r="E42" s="172"/>
      <c r="F42" s="172"/>
    </row>
    <row r="43" spans="1:6">
      <c r="A43" s="625" t="s">
        <v>812</v>
      </c>
      <c r="B43" s="626" t="str">
        <f>B31</f>
        <v>year X</v>
      </c>
      <c r="C43" s="626" t="str">
        <f>C31</f>
        <v>year X+1</v>
      </c>
      <c r="D43" s="626" t="str">
        <f>D31</f>
        <v>year X+2</v>
      </c>
      <c r="E43" s="626" t="str">
        <f>E31</f>
        <v>year X+3</v>
      </c>
      <c r="F43" s="626" t="str">
        <f>F31</f>
        <v>year X+4</v>
      </c>
    </row>
    <row r="44" spans="1:6">
      <c r="A44" s="41" t="s">
        <v>798</v>
      </c>
      <c r="B44" s="953">
        <f>-'Balance Sheet Variation'!B15</f>
        <v>0</v>
      </c>
      <c r="C44" s="953">
        <f>-'Balance Sheet Variation'!D15</f>
        <v>0</v>
      </c>
      <c r="D44" s="953">
        <f>-'Balance Sheet Variation'!G15</f>
        <v>0</v>
      </c>
      <c r="E44" s="953">
        <f>-'Balance Sheet Variation'!J15</f>
        <v>0</v>
      </c>
      <c r="F44" s="953">
        <f>-'Balance Sheet Variation'!M15</f>
        <v>0</v>
      </c>
    </row>
    <row r="45" spans="1:6">
      <c r="A45" s="41" t="s">
        <v>799</v>
      </c>
      <c r="B45" s="953">
        <f>-'Balance Sheet Variation'!B13</f>
        <v>-220569</v>
      </c>
      <c r="C45" s="953">
        <f>-'Balance Sheet Variation'!D13</f>
        <v>48648</v>
      </c>
      <c r="D45" s="953">
        <f>-'Balance Sheet Variation'!G13</f>
        <v>-69248</v>
      </c>
      <c r="E45" s="953">
        <f>-'Balance Sheet'!F11+'Balance Sheet'!E11</f>
        <v>-29193</v>
      </c>
      <c r="F45" s="953">
        <f>-'Balance Sheet Variation'!M13</f>
        <v>-46558</v>
      </c>
    </row>
    <row r="46" spans="1:6">
      <c r="A46" s="41" t="s">
        <v>800</v>
      </c>
      <c r="B46" s="953">
        <f>'Income Statement'!C28</f>
        <v>-24500</v>
      </c>
      <c r="C46" s="953">
        <f>'Income Statement'!D28</f>
        <v>-49000</v>
      </c>
      <c r="D46" s="953">
        <f>'Income Statement'!E28</f>
        <v>-78000</v>
      </c>
      <c r="E46" s="953">
        <f>'Income Statement'!F28</f>
        <v>-104800</v>
      </c>
      <c r="F46" s="953">
        <f>'Income Statement'!G28</f>
        <v>-142000</v>
      </c>
    </row>
    <row r="47" spans="1:6">
      <c r="A47" s="41" t="s">
        <v>869</v>
      </c>
      <c r="B47" s="953">
        <f>'Income Statement'!C27</f>
        <v>0</v>
      </c>
      <c r="C47" s="953">
        <f>'Income Statement'!D27</f>
        <v>0</v>
      </c>
      <c r="D47" s="953">
        <f>'Income Statement'!E27</f>
        <v>0</v>
      </c>
      <c r="E47" s="953">
        <f>'Income Statement'!F27</f>
        <v>0</v>
      </c>
      <c r="F47" s="953">
        <f>'Income Statement'!G27</f>
        <v>0</v>
      </c>
    </row>
    <row r="48" spans="1:6">
      <c r="A48" s="43" t="s">
        <v>797</v>
      </c>
      <c r="B48" s="954">
        <f>SUM(B44:B47)</f>
        <v>-245069</v>
      </c>
      <c r="C48" s="954">
        <f>SUM(C44:C47)</f>
        <v>-352</v>
      </c>
      <c r="D48" s="954">
        <f>SUM(D44:D47)</f>
        <v>-147248</v>
      </c>
      <c r="E48" s="954">
        <f>SUM(E44:E47)</f>
        <v>-133993</v>
      </c>
      <c r="F48" s="954">
        <f>SUM(F44:F47)</f>
        <v>-188558</v>
      </c>
    </row>
    <row r="49" spans="1:6">
      <c r="B49" s="172"/>
      <c r="C49" s="172"/>
      <c r="D49" s="172"/>
      <c r="E49" s="172"/>
      <c r="F49" s="172"/>
    </row>
    <row r="50" spans="1:6">
      <c r="A50" s="625" t="s">
        <v>811</v>
      </c>
      <c r="B50" s="626" t="str">
        <f>B43</f>
        <v>year X</v>
      </c>
      <c r="C50" s="626" t="str">
        <f>C43</f>
        <v>year X+1</v>
      </c>
      <c r="D50" s="626" t="str">
        <f>D43</f>
        <v>year X+2</v>
      </c>
      <c r="E50" s="626" t="str">
        <f>E43</f>
        <v>year X+3</v>
      </c>
      <c r="F50" s="626" t="str">
        <f>F43</f>
        <v>year X+4</v>
      </c>
    </row>
    <row r="51" spans="1:6">
      <c r="A51" s="41" t="s">
        <v>392</v>
      </c>
      <c r="B51" s="953">
        <f>('Balance Sheet Variation'!B54)</f>
        <v>200802</v>
      </c>
      <c r="C51" s="953">
        <f>'Balance Sheet Variation'!D54</f>
        <v>-38278.407989801752</v>
      </c>
      <c r="D51" s="953">
        <f>'Balance Sheet Variation'!G54</f>
        <v>-39197.089781556992</v>
      </c>
      <c r="E51" s="953">
        <f>'Balance Sheet Variation'!J54</f>
        <v>-40137.819936314365</v>
      </c>
      <c r="F51" s="953">
        <f>'Balance Sheet Variation'!M54</f>
        <v>-41101.127614785903</v>
      </c>
    </row>
    <row r="52" spans="1:6">
      <c r="A52" s="43" t="s">
        <v>801</v>
      </c>
      <c r="B52" s="954">
        <f>B51</f>
        <v>200802</v>
      </c>
      <c r="C52" s="954">
        <f>C51</f>
        <v>-38278.407989801752</v>
      </c>
      <c r="D52" s="954">
        <f>D51</f>
        <v>-39197.089781556992</v>
      </c>
      <c r="E52" s="954">
        <f>E51</f>
        <v>-40137.819936314365</v>
      </c>
      <c r="F52" s="954">
        <f>F51</f>
        <v>-41101.127614785903</v>
      </c>
    </row>
    <row r="53" spans="1:6">
      <c r="B53" s="172"/>
      <c r="C53" s="172"/>
      <c r="D53" s="172"/>
      <c r="E53" s="172"/>
      <c r="F53" s="172"/>
    </row>
    <row r="54" spans="1:6">
      <c r="A54" s="625" t="s">
        <v>813</v>
      </c>
      <c r="B54" s="626" t="str">
        <f>B50</f>
        <v>year X</v>
      </c>
      <c r="C54" s="626" t="str">
        <f>C50</f>
        <v>year X+1</v>
      </c>
      <c r="D54" s="626" t="str">
        <f>D50</f>
        <v>year X+2</v>
      </c>
      <c r="E54" s="626" t="str">
        <f>E50</f>
        <v>year X+3</v>
      </c>
      <c r="F54" s="626" t="str">
        <f>F50</f>
        <v>year X+4</v>
      </c>
    </row>
    <row r="55" spans="1:6">
      <c r="A55" s="41" t="s">
        <v>803</v>
      </c>
      <c r="B55" s="953">
        <f>'Balance Sheet Variation'!B42</f>
        <v>10000</v>
      </c>
      <c r="C55" s="953">
        <f>'Balance Sheet Variation'!D42</f>
        <v>0</v>
      </c>
      <c r="D55" s="953">
        <f>'Balance Sheet Variation'!G42</f>
        <v>0</v>
      </c>
      <c r="E55" s="953">
        <f>'Balance Sheet Variation'!J42</f>
        <v>0</v>
      </c>
      <c r="F55" s="953">
        <f>'Balance Sheet Variation'!M42</f>
        <v>0</v>
      </c>
    </row>
    <row r="56" spans="1:6">
      <c r="A56" s="41" t="s">
        <v>354</v>
      </c>
      <c r="B56" s="953">
        <f>'Balance Sheet Variation'!B43</f>
        <v>0</v>
      </c>
      <c r="C56" s="953">
        <f>'Balance Sheet Variation'!D43</f>
        <v>0</v>
      </c>
      <c r="D56" s="953">
        <f>'Balance Sheet Variation'!G43</f>
        <v>0</v>
      </c>
      <c r="E56" s="953">
        <f>'Balance Sheet Variation'!J43</f>
        <v>0</v>
      </c>
      <c r="F56" s="953">
        <f>'Balance Sheet Variation'!M43</f>
        <v>0</v>
      </c>
    </row>
    <row r="57" spans="1:6">
      <c r="A57" s="41" t="s">
        <v>804</v>
      </c>
      <c r="B57" s="953">
        <f>'Balance Sheet Variation'!B44</f>
        <v>130000</v>
      </c>
      <c r="C57" s="953">
        <f>'Balance Sheet Variation'!D44</f>
        <v>-64164</v>
      </c>
      <c r="D57" s="953">
        <f>'Balance Sheet Variation'!G44</f>
        <v>-1208.8499999999985</v>
      </c>
      <c r="E57" s="953">
        <f>'Balance Sheet Variation'!J44</f>
        <v>413749</v>
      </c>
      <c r="F57" s="953">
        <f>'Balance Sheet Variation'!M44</f>
        <v>563777</v>
      </c>
    </row>
    <row r="58" spans="1:6">
      <c r="A58" s="43" t="s">
        <v>802</v>
      </c>
      <c r="B58" s="954">
        <f>SUM(B55:B57)</f>
        <v>140000</v>
      </c>
      <c r="C58" s="954">
        <f>SUM(C55:C57)</f>
        <v>-64164</v>
      </c>
      <c r="D58" s="954">
        <f>SUM(D55:D57)</f>
        <v>-1208.8499999999985</v>
      </c>
      <c r="E58" s="954">
        <f>SUM(E55:E57)</f>
        <v>413749</v>
      </c>
      <c r="F58" s="954">
        <f>SUM(F55:F57)</f>
        <v>563777</v>
      </c>
    </row>
    <row r="59" spans="1:6">
      <c r="F59" s="18"/>
    </row>
    <row r="60" spans="1:6">
      <c r="F60" s="18"/>
    </row>
    <row r="63" spans="1:6">
      <c r="B63"/>
      <c r="C63"/>
      <c r="D63"/>
    </row>
    <row r="64" spans="1:6">
      <c r="C64"/>
    </row>
  </sheetData>
  <phoneticPr fontId="114" type="noConversion"/>
  <hyperlinks>
    <hyperlink ref="A11" r:id="rId1" xr:uid="{00000000-0004-0000-0600-000000000000}"/>
  </hyperlinks>
  <pageMargins left="0.70000000000000007" right="0.32" top="0.75000000000000011" bottom="0.75000000000000011" header="0.30000000000000004" footer="0.30000000000000004"/>
  <pageSetup paperSize="9" scale="55" orientation="portrait" horizontalDpi="4294967292" verticalDpi="4294967292"/>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39997558519241921"/>
  </sheetPr>
  <dimension ref="C1:I33"/>
  <sheetViews>
    <sheetView showGridLines="0" topLeftCell="A11" workbookViewId="0">
      <selection activeCell="M13" sqref="M13"/>
    </sheetView>
  </sheetViews>
  <sheetFormatPr defaultColWidth="8.85546875" defaultRowHeight="12.75"/>
  <cols>
    <col min="3" max="3" width="43.7109375" customWidth="1"/>
    <col min="4" max="4" width="28.140625" style="31" customWidth="1"/>
    <col min="5" max="6" width="13.28515625" style="30" customWidth="1"/>
    <col min="9" max="9" width="9.42578125" bestFit="1" customWidth="1"/>
  </cols>
  <sheetData>
    <row r="1" spans="3:9" ht="18.75">
      <c r="C1" s="8" t="s">
        <v>735</v>
      </c>
      <c r="D1" s="29"/>
    </row>
    <row r="2" spans="3:9" ht="13.5" thickBot="1"/>
    <row r="3" spans="3:9" ht="13.5" thickTop="1">
      <c r="C3" s="38"/>
      <c r="D3" s="39"/>
      <c r="E3" s="40" t="s">
        <v>727</v>
      </c>
      <c r="F3" s="40" t="s">
        <v>728</v>
      </c>
    </row>
    <row r="4" spans="3:9">
      <c r="C4" s="32" t="s">
        <v>826</v>
      </c>
      <c r="D4" s="33"/>
      <c r="E4" s="34"/>
      <c r="F4" s="34"/>
    </row>
    <row r="5" spans="3:9">
      <c r="C5" s="47"/>
      <c r="D5" s="48"/>
      <c r="E5" s="49"/>
      <c r="F5" s="49"/>
    </row>
    <row r="6" spans="3:9">
      <c r="C6" s="47"/>
      <c r="D6" s="48"/>
      <c r="E6" s="49"/>
      <c r="F6" s="49"/>
    </row>
    <row r="7" spans="3:9">
      <c r="C7" s="47"/>
      <c r="D7" s="48"/>
      <c r="E7" s="49"/>
      <c r="F7" s="49"/>
      <c r="G7" s="21"/>
    </row>
    <row r="8" spans="3:9">
      <c r="C8" s="47"/>
      <c r="D8" s="48"/>
      <c r="E8" s="49"/>
      <c r="F8" s="49"/>
      <c r="I8" s="35"/>
    </row>
    <row r="9" spans="3:9">
      <c r="C9" s="47"/>
      <c r="D9" s="48"/>
      <c r="E9" s="49"/>
      <c r="F9" s="49"/>
      <c r="I9" s="35"/>
    </row>
    <row r="10" spans="3:9">
      <c r="C10" s="32"/>
      <c r="D10" s="33"/>
      <c r="E10" s="34"/>
      <c r="F10" s="34"/>
    </row>
    <row r="11" spans="3:9">
      <c r="C11" s="47"/>
      <c r="D11" s="48"/>
      <c r="E11" s="49"/>
      <c r="F11" s="49"/>
    </row>
    <row r="12" spans="3:9">
      <c r="C12" s="47"/>
      <c r="D12" s="48"/>
      <c r="E12" s="49"/>
      <c r="F12" s="49"/>
    </row>
    <row r="13" spans="3:9">
      <c r="C13" s="32"/>
      <c r="D13" s="33"/>
      <c r="E13" s="34"/>
      <c r="F13" s="34"/>
    </row>
    <row r="14" spans="3:9">
      <c r="C14" s="47"/>
      <c r="D14" s="48"/>
      <c r="E14" s="49"/>
      <c r="F14" s="49"/>
    </row>
    <row r="15" spans="3:9" ht="12.75" customHeight="1">
      <c r="C15" s="47"/>
      <c r="D15" s="48"/>
      <c r="E15" s="49"/>
      <c r="F15" s="49"/>
    </row>
    <row r="16" spans="3:9">
      <c r="C16" s="47"/>
      <c r="D16" s="48"/>
      <c r="E16" s="49"/>
      <c r="F16" s="49"/>
    </row>
    <row r="17" spans="3:6">
      <c r="C17" s="47"/>
      <c r="D17" s="48"/>
      <c r="E17" s="49"/>
      <c r="F17" s="49"/>
    </row>
    <row r="18" spans="3:6">
      <c r="C18" s="47"/>
      <c r="D18" s="48"/>
      <c r="E18" s="49"/>
      <c r="F18" s="49"/>
    </row>
    <row r="19" spans="3:6">
      <c r="C19" s="47"/>
      <c r="D19" s="48"/>
      <c r="E19" s="49"/>
      <c r="F19" s="49"/>
    </row>
    <row r="20" spans="3:6">
      <c r="C20" s="32"/>
      <c r="D20" s="33"/>
      <c r="E20" s="34"/>
      <c r="F20" s="34"/>
    </row>
    <row r="21" spans="3:6">
      <c r="C21" s="47"/>
      <c r="D21" s="48"/>
      <c r="E21" s="49"/>
      <c r="F21" s="49"/>
    </row>
    <row r="24" spans="3:6">
      <c r="C24" s="36"/>
      <c r="D24" s="37"/>
    </row>
    <row r="26" spans="3:6">
      <c r="C26" s="32"/>
      <c r="D26" s="33"/>
      <c r="E26" s="34"/>
      <c r="F26" s="34"/>
    </row>
    <row r="27" spans="3:6" ht="12.75" customHeight="1">
      <c r="C27" s="47"/>
      <c r="D27" s="48"/>
      <c r="E27" s="50"/>
      <c r="F27" s="50"/>
    </row>
    <row r="28" spans="3:6">
      <c r="C28" s="47"/>
      <c r="D28" s="48"/>
      <c r="E28" s="50"/>
      <c r="F28" s="50"/>
    </row>
    <row r="29" spans="3:6">
      <c r="C29" s="47"/>
      <c r="D29" s="48"/>
      <c r="E29" s="50"/>
      <c r="F29" s="50"/>
    </row>
    <row r="30" spans="3:6">
      <c r="C30" s="47"/>
      <c r="D30" s="48"/>
      <c r="E30" s="50"/>
      <c r="F30" s="50"/>
    </row>
    <row r="31" spans="3:6">
      <c r="C31" s="47"/>
      <c r="D31" s="48"/>
      <c r="E31" s="50"/>
      <c r="F31" s="50"/>
    </row>
    <row r="32" spans="3:6">
      <c r="C32" s="44"/>
      <c r="D32" s="45"/>
      <c r="E32" s="46"/>
      <c r="F32" s="46"/>
    </row>
    <row r="33" spans="3:6">
      <c r="C33" s="44"/>
      <c r="D33" s="45"/>
      <c r="E33" s="46"/>
      <c r="F33" s="46"/>
    </row>
  </sheetData>
  <phoneticPr fontId="114" type="noConversion"/>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E42"/>
  <sheetViews>
    <sheetView showGridLines="0" topLeftCell="A13" workbookViewId="0">
      <selection activeCell="B34" sqref="B34:B35"/>
    </sheetView>
  </sheetViews>
  <sheetFormatPr defaultColWidth="8.85546875" defaultRowHeight="12.75"/>
  <cols>
    <col min="2" max="2" width="27.85546875" customWidth="1"/>
  </cols>
  <sheetData>
    <row r="1" spans="2:4" ht="15">
      <c r="D1" s="66" t="s">
        <v>877</v>
      </c>
    </row>
    <row r="3" spans="2:4">
      <c r="B3" s="21" t="s">
        <v>878</v>
      </c>
    </row>
    <row r="4" spans="2:4">
      <c r="B4" s="21" t="s">
        <v>886</v>
      </c>
    </row>
    <row r="5" spans="2:4">
      <c r="B5" s="21" t="s">
        <v>363</v>
      </c>
    </row>
    <row r="6" spans="2:4">
      <c r="B6" s="21" t="s">
        <v>364</v>
      </c>
    </row>
    <row r="7" spans="2:4">
      <c r="B7" s="21" t="s">
        <v>1275</v>
      </c>
    </row>
    <row r="8" spans="2:4">
      <c r="B8" s="21"/>
    </row>
    <row r="9" spans="2:4">
      <c r="B9" s="21" t="s">
        <v>365</v>
      </c>
    </row>
    <row r="10" spans="2:4">
      <c r="B10" s="21" t="s">
        <v>366</v>
      </c>
    </row>
    <row r="12" spans="2:4">
      <c r="B12" s="21" t="s">
        <v>1276</v>
      </c>
    </row>
    <row r="13" spans="2:4">
      <c r="B13" s="21" t="s">
        <v>367</v>
      </c>
    </row>
    <row r="14" spans="2:4">
      <c r="B14" s="123"/>
    </row>
    <row r="15" spans="2:4">
      <c r="B15" s="21" t="s">
        <v>1274</v>
      </c>
    </row>
    <row r="16" spans="2:4">
      <c r="B16" s="21" t="s">
        <v>1277</v>
      </c>
    </row>
    <row r="17" spans="2:5">
      <c r="B17" s="124" t="s">
        <v>368</v>
      </c>
    </row>
    <row r="18" spans="2:5">
      <c r="B18" s="21"/>
    </row>
    <row r="20" spans="2:5" ht="15">
      <c r="B20" s="73" t="s">
        <v>883</v>
      </c>
      <c r="C20" s="74" t="s">
        <v>1265</v>
      </c>
    </row>
    <row r="22" spans="2:5">
      <c r="C22" s="72" t="s">
        <v>884</v>
      </c>
    </row>
    <row r="26" spans="2:5" ht="15">
      <c r="D26" s="66" t="s">
        <v>1217</v>
      </c>
      <c r="E26" s="66"/>
    </row>
    <row r="27" spans="2:5" ht="15">
      <c r="B27" s="66"/>
    </row>
    <row r="28" spans="2:5">
      <c r="B28" s="21" t="s">
        <v>1279</v>
      </c>
    </row>
    <row r="29" spans="2:5">
      <c r="B29" s="21" t="s">
        <v>1278</v>
      </c>
    </row>
    <row r="30" spans="2:5">
      <c r="B30" s="21" t="s">
        <v>1230</v>
      </c>
    </row>
    <row r="31" spans="2:5">
      <c r="B31" s="21" t="s">
        <v>1280</v>
      </c>
    </row>
    <row r="32" spans="2:5">
      <c r="B32" s="124" t="s">
        <v>1281</v>
      </c>
    </row>
    <row r="33" spans="2:3">
      <c r="B33" s="124"/>
    </row>
    <row r="34" spans="2:3">
      <c r="B34" s="21" t="s">
        <v>1315</v>
      </c>
    </row>
    <row r="35" spans="2:3">
      <c r="B35" s="124" t="s">
        <v>1282</v>
      </c>
    </row>
    <row r="36" spans="2:3" ht="15">
      <c r="B36" s="66"/>
    </row>
    <row r="37" spans="2:3">
      <c r="B37" s="21" t="s">
        <v>1283</v>
      </c>
    </row>
    <row r="38" spans="2:3">
      <c r="B38" s="21" t="s">
        <v>1316</v>
      </c>
    </row>
    <row r="39" spans="2:3">
      <c r="B39" s="21" t="s">
        <v>1218</v>
      </c>
    </row>
    <row r="40" spans="2:3">
      <c r="C40" s="21" t="s">
        <v>1314</v>
      </c>
    </row>
    <row r="42" spans="2:3">
      <c r="B42" s="21" t="s">
        <v>1284</v>
      </c>
    </row>
  </sheetData>
  <phoneticPr fontId="114"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42</vt:i4>
      </vt:variant>
      <vt:variant>
        <vt:lpstr>Intervalli denominati</vt:lpstr>
      </vt:variant>
      <vt:variant>
        <vt:i4>11</vt:i4>
      </vt:variant>
    </vt:vector>
  </HeadingPairs>
  <TitlesOfParts>
    <vt:vector size="53" baseType="lpstr">
      <vt:lpstr>Contents</vt:lpstr>
      <vt:lpstr>Business Plan checklist</vt:lpstr>
      <vt:lpstr>Income Statement</vt:lpstr>
      <vt:lpstr>Balance Sheet</vt:lpstr>
      <vt:lpstr>Loan repayment schedule</vt:lpstr>
      <vt:lpstr>Balance Sheet Variation</vt:lpstr>
      <vt:lpstr>Cash Flow Statement</vt:lpstr>
      <vt:lpstr>Ratio Analysis</vt:lpstr>
      <vt:lpstr>Operating leverage&amp;Cash Flow</vt:lpstr>
      <vt:lpstr>Sales - Sensitivity Analysis</vt:lpstr>
      <vt:lpstr>Ratios </vt:lpstr>
      <vt:lpstr>RATIO TREE</vt:lpstr>
      <vt:lpstr>Debt Covenants </vt:lpstr>
      <vt:lpstr>Value Added Analysis</vt:lpstr>
      <vt:lpstr>Breakeven point</vt:lpstr>
      <vt:lpstr>Operating leverage</vt:lpstr>
      <vt:lpstr>Cash Flows &amp; Operating Leverage</vt:lpstr>
      <vt:lpstr>Country Risk</vt:lpstr>
      <vt:lpstr>Beta </vt:lpstr>
      <vt:lpstr>Inflation OECD Historical trend</vt:lpstr>
      <vt:lpstr>Inflation update November 2015</vt:lpstr>
      <vt:lpstr>Equity risk premium</vt:lpstr>
      <vt:lpstr>Interest Rates</vt:lpstr>
      <vt:lpstr>Currency Rates</vt:lpstr>
      <vt:lpstr>Commodities</vt:lpstr>
      <vt:lpstr>Other input data</vt:lpstr>
      <vt:lpstr> Exhibit </vt:lpstr>
      <vt:lpstr>NPV, IRR, payback</vt:lpstr>
      <vt:lpstr>Evaluation Model</vt:lpstr>
      <vt:lpstr>Dividend growth</vt:lpstr>
      <vt:lpstr>Rating </vt:lpstr>
      <vt:lpstr>Price-BV</vt:lpstr>
      <vt:lpstr>Cash flow eval methods descript</vt:lpstr>
      <vt:lpstr> Cash Flow Valuation Model</vt:lpstr>
      <vt:lpstr>NewFCFEStableGrowth</vt:lpstr>
      <vt:lpstr> NewFCFFStableGrowth</vt:lpstr>
      <vt:lpstr>WACC</vt:lpstr>
      <vt:lpstr>drop down menu</vt:lpstr>
      <vt:lpstr>R&amp;D Capitalizer</vt:lpstr>
      <vt:lpstr>Residual Life Assets</vt:lpstr>
      <vt:lpstr>Intangible eval methods descrip</vt:lpstr>
      <vt:lpstr>Income approach</vt:lpstr>
      <vt:lpstr>'Breakeven point'!Area_stampa</vt:lpstr>
      <vt:lpstr>'Business Plan checklist'!Area_stampa</vt:lpstr>
      <vt:lpstr>'Cash Flows &amp; Operating Leverage'!Area_stampa</vt:lpstr>
      <vt:lpstr>Contents!Area_stampa</vt:lpstr>
      <vt:lpstr>'Income Statement'!Area_stampa</vt:lpstr>
      <vt:lpstr>'NPV, IRR, payback'!Area_stampa</vt:lpstr>
      <vt:lpstr>'Operating leverage'!Area_stampa</vt:lpstr>
      <vt:lpstr>'Ratios '!Area_stampa</vt:lpstr>
      <vt:lpstr>'Value Added Analysis'!Area_stampa</vt:lpstr>
      <vt:lpstr>WACC!Area_stampa</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dc:creator>
  <cp:lastModifiedBy>Roberto</cp:lastModifiedBy>
  <cp:lastPrinted>2013-11-13T18:29:41Z</cp:lastPrinted>
  <dcterms:created xsi:type="dcterms:W3CDTF">2007-02-02T13:45:31Z</dcterms:created>
  <dcterms:modified xsi:type="dcterms:W3CDTF">2018-11-13T11:49:41Z</dcterms:modified>
</cp:coreProperties>
</file>